
<file path=[Content_Types].xml><?xml version="1.0" encoding="utf-8"?>
<Types xmlns="http://schemas.openxmlformats.org/package/2006/content-types">
  <Default Extension="bin" ContentType="application/vnd.openxmlformats-officedocument.spreadsheetml.printerSettings"/>
  <Default Extension="tmp"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480" yWindow="375" windowWidth="17715" windowHeight="11520"/>
  </bookViews>
  <sheets>
    <sheet name="Mode d'emploi" sheetId="5" r:id="rId1"/>
    <sheet name="A remplir" sheetId="2" r:id="rId2"/>
    <sheet name="Résultat" sheetId="3" r:id="rId3"/>
    <sheet name="Annexe" sheetId="4" r:id="rId4"/>
    <sheet name="Ne pas toucher" sheetId="1" state="hidden" r:id="rId5"/>
  </sheets>
  <calcPr calcId="145621"/>
</workbook>
</file>

<file path=xl/calcChain.xml><?xml version="1.0" encoding="utf-8"?>
<calcChain xmlns="http://schemas.openxmlformats.org/spreadsheetml/2006/main">
  <c r="B99" i="2" l="1"/>
  <c r="H66" i="2"/>
  <c r="C45" i="3" l="1"/>
  <c r="F99" i="2"/>
  <c r="M81" i="3" s="1"/>
  <c r="M82" i="3" s="1"/>
  <c r="M83" i="3" l="1"/>
  <c r="M84" i="3" s="1"/>
  <c r="M85" i="3" s="1"/>
  <c r="M86" i="3" s="1"/>
  <c r="M87" i="3" s="1"/>
  <c r="M88" i="3" s="1"/>
  <c r="M89" i="3" s="1"/>
  <c r="M90" i="3" s="1"/>
  <c r="M91" i="3" s="1"/>
  <c r="M92" i="3" s="1"/>
  <c r="M93" i="3" s="1"/>
  <c r="M94" i="3" s="1"/>
  <c r="M95" i="3" s="1"/>
  <c r="M96" i="3" s="1"/>
  <c r="M97" i="3" s="1"/>
  <c r="M98" i="3" s="1"/>
  <c r="M99" i="3" s="1"/>
  <c r="M100" i="3" s="1"/>
  <c r="M101" i="3" s="1"/>
  <c r="M102" i="3" s="1"/>
  <c r="M103" i="3" s="1"/>
  <c r="M104" i="3" s="1"/>
  <c r="M105" i="3" s="1"/>
  <c r="M106" i="3" s="1"/>
  <c r="M107" i="3" s="1"/>
  <c r="M108" i="3" s="1"/>
  <c r="M109" i="3" s="1"/>
  <c r="M110" i="3" s="1"/>
  <c r="M111" i="3" s="1"/>
  <c r="M112" i="3" s="1"/>
  <c r="M113" i="3" s="1"/>
  <c r="M114" i="3" s="1"/>
  <c r="M115" i="3" s="1"/>
  <c r="M116" i="3" s="1"/>
  <c r="M117" i="3" s="1"/>
  <c r="M118" i="3" s="1"/>
  <c r="M119" i="3" s="1"/>
  <c r="M120" i="3" s="1"/>
  <c r="M121" i="3" s="1"/>
  <c r="M122" i="3" s="1"/>
  <c r="M123" i="3" s="1"/>
  <c r="M124" i="3" s="1"/>
  <c r="M125" i="3" s="1"/>
  <c r="M126" i="3" s="1"/>
  <c r="M127" i="3" s="1"/>
  <c r="M128" i="3" s="1"/>
  <c r="M129" i="3" s="1"/>
  <c r="M130" i="3" s="1"/>
  <c r="K81" i="3"/>
  <c r="D28" i="2"/>
  <c r="B2" i="3"/>
  <c r="B3" i="3"/>
  <c r="C59" i="3" l="1"/>
  <c r="C58" i="3"/>
  <c r="B80" i="2"/>
  <c r="I142" i="3"/>
  <c r="I143" i="3" s="1"/>
  <c r="I144" i="3" s="1"/>
  <c r="I145" i="3" s="1"/>
  <c r="I146" i="3" s="1"/>
  <c r="I147" i="3" s="1"/>
  <c r="I148" i="3" s="1"/>
  <c r="I149" i="3" s="1"/>
  <c r="I150" i="3" s="1"/>
  <c r="I151" i="3" s="1"/>
  <c r="I152" i="3" s="1"/>
  <c r="I153" i="3" s="1"/>
  <c r="I154" i="3" s="1"/>
  <c r="I155" i="3" s="1"/>
  <c r="I156" i="3" s="1"/>
  <c r="I157" i="3" s="1"/>
  <c r="I158" i="3" s="1"/>
  <c r="I159" i="3" s="1"/>
  <c r="I160" i="3" s="1"/>
  <c r="I161" i="3" s="1"/>
  <c r="I162" i="3" s="1"/>
  <c r="I163" i="3" s="1"/>
  <c r="I164" i="3" s="1"/>
  <c r="I165" i="3" s="1"/>
  <c r="I166" i="3" s="1"/>
  <c r="I167" i="3" s="1"/>
  <c r="I168" i="3" s="1"/>
  <c r="I169" i="3" s="1"/>
  <c r="I170" i="3" s="1"/>
  <c r="I171" i="3" s="1"/>
  <c r="I172" i="3" s="1"/>
  <c r="I173" i="3" s="1"/>
  <c r="I174" i="3" s="1"/>
  <c r="I175" i="3" s="1"/>
  <c r="I176" i="3" s="1"/>
  <c r="I177" i="3" s="1"/>
  <c r="I178" i="3" s="1"/>
  <c r="I179" i="3" s="1"/>
  <c r="I180" i="3" s="1"/>
  <c r="I181" i="3" s="1"/>
  <c r="I182" i="3" s="1"/>
  <c r="I183" i="3" s="1"/>
  <c r="I184" i="3" s="1"/>
  <c r="I185" i="3" s="1"/>
  <c r="I186" i="3" s="1"/>
  <c r="I187" i="3" s="1"/>
  <c r="I188" i="3" s="1"/>
  <c r="I189" i="3" s="1"/>
  <c r="I190" i="3" s="1"/>
  <c r="I191" i="3" s="1"/>
  <c r="B142" i="3"/>
  <c r="B143" i="3" s="1"/>
  <c r="B144" i="3" s="1"/>
  <c r="B145" i="3" s="1"/>
  <c r="I81" i="3"/>
  <c r="I82" i="3" s="1"/>
  <c r="I83" i="3" s="1"/>
  <c r="I84" i="3" s="1"/>
  <c r="I85" i="3" s="1"/>
  <c r="I86" i="3" s="1"/>
  <c r="I87" i="3" s="1"/>
  <c r="I88" i="3" s="1"/>
  <c r="I89" i="3" s="1"/>
  <c r="I90" i="3" s="1"/>
  <c r="I91" i="3" s="1"/>
  <c r="I92" i="3" s="1"/>
  <c r="I93" i="3" s="1"/>
  <c r="I94" i="3" s="1"/>
  <c r="I95" i="3" s="1"/>
  <c r="I96" i="3" s="1"/>
  <c r="I97" i="3" s="1"/>
  <c r="I98" i="3" s="1"/>
  <c r="I99" i="3" s="1"/>
  <c r="I100" i="3" s="1"/>
  <c r="I101" i="3" s="1"/>
  <c r="I102" i="3" s="1"/>
  <c r="I103" i="3" s="1"/>
  <c r="I104" i="3" s="1"/>
  <c r="I105" i="3" s="1"/>
  <c r="I106" i="3" s="1"/>
  <c r="I107" i="3" s="1"/>
  <c r="I108" i="3" s="1"/>
  <c r="I109" i="3" s="1"/>
  <c r="I110" i="3" s="1"/>
  <c r="I111" i="3" s="1"/>
  <c r="I112" i="3" s="1"/>
  <c r="I113" i="3" s="1"/>
  <c r="I114" i="3" s="1"/>
  <c r="I115" i="3" s="1"/>
  <c r="I116" i="3" s="1"/>
  <c r="I117" i="3" s="1"/>
  <c r="I118" i="3" s="1"/>
  <c r="I119" i="3" s="1"/>
  <c r="I120" i="3" s="1"/>
  <c r="I121" i="3" s="1"/>
  <c r="I122" i="3" s="1"/>
  <c r="I123" i="3" s="1"/>
  <c r="I124" i="3" s="1"/>
  <c r="I125" i="3" s="1"/>
  <c r="I126" i="3" s="1"/>
  <c r="I127" i="3" s="1"/>
  <c r="I128" i="3" s="1"/>
  <c r="I129" i="3" s="1"/>
  <c r="I130" i="3" s="1"/>
  <c r="B81" i="3"/>
  <c r="E6" i="1"/>
  <c r="E7" i="1" s="1"/>
  <c r="E8" i="1" s="1"/>
  <c r="E9" i="1" s="1"/>
  <c r="E10" i="1" s="1"/>
  <c r="E11" i="1" s="1"/>
  <c r="E12" i="1" s="1"/>
  <c r="E13" i="1" s="1"/>
  <c r="E14" i="1" s="1"/>
  <c r="E15" i="1" s="1"/>
  <c r="E16" i="1" s="1"/>
  <c r="E17" i="1" s="1"/>
  <c r="E18" i="1" s="1"/>
  <c r="E19" i="1" s="1"/>
  <c r="E20" i="1" s="1"/>
  <c r="E21" i="1" s="1"/>
  <c r="E22" i="1" s="1"/>
  <c r="E23" i="1" s="1"/>
  <c r="E24" i="1" s="1"/>
  <c r="E25" i="1" s="1"/>
  <c r="E26" i="1" s="1"/>
  <c r="E27" i="1" s="1"/>
  <c r="E28" i="1" s="1"/>
  <c r="E29" i="1" s="1"/>
  <c r="E30" i="1" s="1"/>
  <c r="E31" i="1" s="1"/>
  <c r="E32" i="1" s="1"/>
  <c r="E33" i="1" s="1"/>
  <c r="E34" i="1" s="1"/>
  <c r="E35" i="1" s="1"/>
  <c r="E36" i="1" s="1"/>
  <c r="E37" i="1" s="1"/>
  <c r="E38" i="1" s="1"/>
  <c r="E39" i="1" s="1"/>
  <c r="E40" i="1" s="1"/>
  <c r="E41" i="1" s="1"/>
  <c r="E42" i="1" s="1"/>
  <c r="E43" i="1" s="1"/>
  <c r="E44" i="1" s="1"/>
  <c r="E45" i="1" s="1"/>
  <c r="E46" i="1" s="1"/>
  <c r="E47" i="1" s="1"/>
  <c r="E48" i="1" s="1"/>
  <c r="E49" i="1" s="1"/>
  <c r="E50" i="1" s="1"/>
  <c r="E51" i="1" s="1"/>
  <c r="E52" i="1" s="1"/>
  <c r="E53" i="1" s="1"/>
  <c r="E54" i="1" s="1"/>
  <c r="E55" i="1" s="1"/>
  <c r="B146" i="3" l="1"/>
  <c r="B147" i="3" s="1"/>
  <c r="B148" i="3" s="1"/>
  <c r="B149" i="3" s="1"/>
  <c r="B150" i="3" s="1"/>
  <c r="B151" i="3" s="1"/>
  <c r="B152" i="3" s="1"/>
  <c r="B153" i="3" s="1"/>
  <c r="B154" i="3" s="1"/>
  <c r="B155" i="3" s="1"/>
  <c r="B156" i="3" s="1"/>
  <c r="B157" i="3" s="1"/>
  <c r="B158" i="3" s="1"/>
  <c r="B159" i="3" s="1"/>
  <c r="B160" i="3" s="1"/>
  <c r="B161" i="3" s="1"/>
  <c r="B162" i="3" s="1"/>
  <c r="B163" i="3" s="1"/>
  <c r="B164" i="3" s="1"/>
  <c r="B165" i="3" s="1"/>
  <c r="B166" i="3" s="1"/>
  <c r="B167" i="3" s="1"/>
  <c r="B168" i="3" s="1"/>
  <c r="B169" i="3" s="1"/>
  <c r="B170" i="3" s="1"/>
  <c r="B171" i="3" s="1"/>
  <c r="B172" i="3" s="1"/>
  <c r="B173" i="3" s="1"/>
  <c r="B174" i="3" s="1"/>
  <c r="B175" i="3" s="1"/>
  <c r="B176" i="3" s="1"/>
  <c r="B177" i="3" s="1"/>
  <c r="B178" i="3" s="1"/>
  <c r="B179" i="3" s="1"/>
  <c r="B180" i="3" s="1"/>
  <c r="B181" i="3" s="1"/>
  <c r="B182" i="3" s="1"/>
  <c r="B183" i="3" s="1"/>
  <c r="B184" i="3" s="1"/>
  <c r="B185" i="3" s="1"/>
  <c r="B186" i="3" s="1"/>
  <c r="B187" i="3" s="1"/>
  <c r="B188" i="3" s="1"/>
  <c r="B189" i="3" s="1"/>
  <c r="B190" i="3" s="1"/>
  <c r="B191" i="3" s="1"/>
  <c r="C60" i="3"/>
  <c r="C62" i="3"/>
  <c r="C63" i="3"/>
  <c r="B82" i="3"/>
  <c r="B83" i="3" s="1"/>
  <c r="B84" i="3" s="1"/>
  <c r="B85" i="3" s="1"/>
  <c r="B86" i="3" s="1"/>
  <c r="B87" i="3" s="1"/>
  <c r="B88" i="3" s="1"/>
  <c r="B89" i="3" s="1"/>
  <c r="B90" i="3" s="1"/>
  <c r="B91" i="3" s="1"/>
  <c r="B92" i="3" s="1"/>
  <c r="B93" i="3" s="1"/>
  <c r="B94" i="3" s="1"/>
  <c r="B95" i="3" s="1"/>
  <c r="B96" i="3" s="1"/>
  <c r="B97" i="3" s="1"/>
  <c r="B98" i="3" s="1"/>
  <c r="B99" i="3" s="1"/>
  <c r="B100" i="3" s="1"/>
  <c r="B101" i="3" s="1"/>
  <c r="B102" i="3" s="1"/>
  <c r="B103" i="3" s="1"/>
  <c r="B104" i="3" s="1"/>
  <c r="B105" i="3" s="1"/>
  <c r="B106" i="3" s="1"/>
  <c r="B107" i="3" s="1"/>
  <c r="B108" i="3" s="1"/>
  <c r="B109" i="3" s="1"/>
  <c r="B110" i="3" s="1"/>
  <c r="B111" i="3" s="1"/>
  <c r="B112" i="3" s="1"/>
  <c r="B113" i="3" s="1"/>
  <c r="B114" i="3" s="1"/>
  <c r="B115" i="3" s="1"/>
  <c r="B116" i="3" s="1"/>
  <c r="B117" i="3" s="1"/>
  <c r="B118" i="3" s="1"/>
  <c r="B119" i="3" s="1"/>
  <c r="B120" i="3" s="1"/>
  <c r="B121" i="3" s="1"/>
  <c r="B122" i="3" s="1"/>
  <c r="B123" i="3" s="1"/>
  <c r="B124" i="3" s="1"/>
  <c r="B125" i="3" s="1"/>
  <c r="B126" i="3" s="1"/>
  <c r="B127" i="3" s="1"/>
  <c r="B128" i="3" s="1"/>
  <c r="B129" i="3" s="1"/>
  <c r="B130" i="3" s="1"/>
  <c r="J99" i="2" l="1"/>
  <c r="H99" i="2" s="1"/>
  <c r="B88" i="2" l="1"/>
  <c r="D88" i="2" s="1"/>
  <c r="B92" i="2"/>
  <c r="D92" i="2" s="1"/>
  <c r="D43" i="3" l="1"/>
  <c r="D40" i="3"/>
  <c r="D58" i="3"/>
  <c r="F11" i="3"/>
  <c r="F96" i="2"/>
  <c r="F13" i="3"/>
  <c r="I6" i="1"/>
  <c r="H7" i="1" s="1"/>
  <c r="D59" i="3" l="1"/>
  <c r="D60" i="3"/>
  <c r="H6" i="1"/>
  <c r="M142" i="3"/>
  <c r="G6" i="1"/>
  <c r="G7" i="1"/>
  <c r="F7" i="1" s="1"/>
  <c r="K82" i="3"/>
  <c r="C40" i="3"/>
  <c r="F6" i="1" l="1"/>
  <c r="K142" i="3"/>
  <c r="I7" i="1"/>
  <c r="H8" i="1" s="1"/>
  <c r="K143" i="3"/>
  <c r="K83" i="3"/>
  <c r="M143" i="3" l="1"/>
  <c r="G8" i="1"/>
  <c r="F8" i="1" s="1"/>
  <c r="I8" i="1"/>
  <c r="K84" i="3"/>
  <c r="D61" i="3"/>
  <c r="M144" i="3" l="1"/>
  <c r="K144" i="3"/>
  <c r="I9" i="1"/>
  <c r="H10" i="1" s="1"/>
  <c r="H9" i="1"/>
  <c r="G9" i="1"/>
  <c r="G10" i="1"/>
  <c r="K85" i="3"/>
  <c r="J92" i="2"/>
  <c r="D41" i="3" s="1"/>
  <c r="M145" i="3" l="1"/>
  <c r="K145" i="3"/>
  <c r="F9" i="1"/>
  <c r="I10" i="1"/>
  <c r="F10" i="1"/>
  <c r="K86" i="3"/>
  <c r="K146" i="3"/>
  <c r="L81" i="3"/>
  <c r="M146" i="3" l="1"/>
  <c r="D63" i="3"/>
  <c r="D45" i="3"/>
  <c r="L142" i="3"/>
  <c r="H11" i="1"/>
  <c r="G11" i="1"/>
  <c r="I11" i="1"/>
  <c r="K87" i="3"/>
  <c r="E81" i="3"/>
  <c r="C44" i="3"/>
  <c r="C41" i="3"/>
  <c r="C42" i="3"/>
  <c r="M147" i="3" l="1"/>
  <c r="D62" i="3"/>
  <c r="D44" i="3"/>
  <c r="E142" i="3"/>
  <c r="K147" i="3"/>
  <c r="F11" i="1"/>
  <c r="I12" i="1"/>
  <c r="H12" i="1"/>
  <c r="G12" i="1"/>
  <c r="C81" i="3"/>
  <c r="C142" i="3" s="1"/>
  <c r="K88" i="3"/>
  <c r="D42" i="3"/>
  <c r="M148" i="3" l="1"/>
  <c r="K148" i="3"/>
  <c r="F12" i="1"/>
  <c r="I13" i="1"/>
  <c r="H13" i="1"/>
  <c r="G13" i="1"/>
  <c r="K89" i="3"/>
  <c r="F15" i="3"/>
  <c r="F14" i="3"/>
  <c r="F12" i="3"/>
  <c r="F10" i="3"/>
  <c r="C14" i="3"/>
  <c r="C13" i="3"/>
  <c r="C12" i="3"/>
  <c r="C11" i="3"/>
  <c r="C10" i="3"/>
  <c r="M149" i="3" l="1"/>
  <c r="F13" i="1"/>
  <c r="K149" i="3"/>
  <c r="I14" i="1"/>
  <c r="G14" i="1"/>
  <c r="H14" i="1"/>
  <c r="K90" i="3"/>
  <c r="C16" i="3"/>
  <c r="F16" i="3"/>
  <c r="M150" i="3" l="1"/>
  <c r="K150" i="3"/>
  <c r="C19" i="3"/>
  <c r="D13" i="3"/>
  <c r="C20" i="3"/>
  <c r="C18" i="3"/>
  <c r="G16" i="3"/>
  <c r="G13" i="3"/>
  <c r="I15" i="1"/>
  <c r="F14" i="1"/>
  <c r="G15" i="1"/>
  <c r="H15" i="1"/>
  <c r="K91" i="3"/>
  <c r="D11" i="3"/>
  <c r="D14" i="3"/>
  <c r="D16" i="3"/>
  <c r="D10" i="3"/>
  <c r="D12" i="3"/>
  <c r="G15" i="3"/>
  <c r="G10" i="3"/>
  <c r="G12" i="3"/>
  <c r="G14" i="3"/>
  <c r="G11" i="3"/>
  <c r="M151" i="3" l="1"/>
  <c r="K151" i="3"/>
  <c r="F15" i="1"/>
  <c r="I16" i="1"/>
  <c r="H16" i="1"/>
  <c r="G16" i="1"/>
  <c r="K92" i="3"/>
  <c r="M152" i="3" l="1"/>
  <c r="K152" i="3"/>
  <c r="F16" i="1"/>
  <c r="I17" i="1"/>
  <c r="G17" i="1"/>
  <c r="H17" i="1"/>
  <c r="K93" i="3"/>
  <c r="M153" i="3" l="1"/>
  <c r="K153" i="3"/>
  <c r="F17" i="1"/>
  <c r="I18" i="1"/>
  <c r="G18" i="1"/>
  <c r="H18" i="1"/>
  <c r="K94" i="3"/>
  <c r="K154" i="3"/>
  <c r="M154" i="3" l="1"/>
  <c r="F18" i="1"/>
  <c r="I19" i="1"/>
  <c r="G19" i="1"/>
  <c r="H19" i="1"/>
  <c r="K95" i="3"/>
  <c r="D81" i="3"/>
  <c r="M155" i="3" l="1"/>
  <c r="K155" i="3"/>
  <c r="F19" i="1"/>
  <c r="I20" i="1"/>
  <c r="H20" i="1"/>
  <c r="G20" i="1"/>
  <c r="F81" i="3"/>
  <c r="C82" i="3" s="1"/>
  <c r="D142" i="3"/>
  <c r="K96" i="3"/>
  <c r="M156" i="3" l="1"/>
  <c r="E82" i="3"/>
  <c r="K156" i="3"/>
  <c r="F20" i="1"/>
  <c r="I21" i="1"/>
  <c r="H21" i="1"/>
  <c r="G21" i="1"/>
  <c r="E143" i="3"/>
  <c r="K97" i="3"/>
  <c r="F142" i="3"/>
  <c r="M157" i="3" l="1"/>
  <c r="K157" i="3"/>
  <c r="F21" i="1"/>
  <c r="I22" i="1"/>
  <c r="H22" i="1"/>
  <c r="G22" i="1"/>
  <c r="C143" i="3"/>
  <c r="K98" i="3"/>
  <c r="D82" i="3"/>
  <c r="F82" i="3" s="1"/>
  <c r="C83" i="3" s="1"/>
  <c r="M158" i="3" l="1"/>
  <c r="K158" i="3"/>
  <c r="F22" i="1"/>
  <c r="I23" i="1"/>
  <c r="M159" i="3" s="1"/>
  <c r="G23" i="1"/>
  <c r="H23" i="1"/>
  <c r="K99" i="3"/>
  <c r="D143" i="3"/>
  <c r="K159" i="3" l="1"/>
  <c r="I24" i="1"/>
  <c r="M160" i="3" s="1"/>
  <c r="G24" i="1"/>
  <c r="H24" i="1"/>
  <c r="F23" i="1"/>
  <c r="K100" i="3"/>
  <c r="K160" i="3"/>
  <c r="F143" i="3"/>
  <c r="E83" i="3"/>
  <c r="F24" i="1" l="1"/>
  <c r="I25" i="1"/>
  <c r="M161" i="3" s="1"/>
  <c r="H25" i="1"/>
  <c r="G25" i="1"/>
  <c r="D83" i="3"/>
  <c r="F83" i="3" s="1"/>
  <c r="C84" i="3" s="1"/>
  <c r="E144" i="3"/>
  <c r="C144" i="3"/>
  <c r="K101" i="3"/>
  <c r="K161" i="3" l="1"/>
  <c r="F25" i="1"/>
  <c r="I26" i="1"/>
  <c r="M162" i="3" s="1"/>
  <c r="G26" i="1"/>
  <c r="K162" i="3" s="1"/>
  <c r="H26" i="1"/>
  <c r="K102" i="3"/>
  <c r="D144" i="3"/>
  <c r="I27" i="1" l="1"/>
  <c r="M163" i="3" s="1"/>
  <c r="H27" i="1"/>
  <c r="G27" i="1"/>
  <c r="F26" i="1"/>
  <c r="C145" i="3"/>
  <c r="F144" i="3"/>
  <c r="E84" i="3"/>
  <c r="K103" i="3"/>
  <c r="K163" i="3" l="1"/>
  <c r="F27" i="1"/>
  <c r="I28" i="1"/>
  <c r="M164" i="3" s="1"/>
  <c r="G28" i="1"/>
  <c r="H28" i="1"/>
  <c r="D84" i="3"/>
  <c r="F84" i="3" s="1"/>
  <c r="C85" i="3" s="1"/>
  <c r="E145" i="3"/>
  <c r="K104" i="3"/>
  <c r="K164" i="3" l="1"/>
  <c r="I29" i="1"/>
  <c r="M165" i="3" s="1"/>
  <c r="G29" i="1"/>
  <c r="H29" i="1"/>
  <c r="F28" i="1"/>
  <c r="K105" i="3"/>
  <c r="K165" i="3"/>
  <c r="D145" i="3"/>
  <c r="F29" i="1" l="1"/>
  <c r="I30" i="1"/>
  <c r="M166" i="3" s="1"/>
  <c r="M167" i="3" s="1"/>
  <c r="M168" i="3" s="1"/>
  <c r="M169" i="3" s="1"/>
  <c r="M170" i="3" s="1"/>
  <c r="M171" i="3" s="1"/>
  <c r="M172" i="3" s="1"/>
  <c r="M173" i="3" s="1"/>
  <c r="M174" i="3" s="1"/>
  <c r="M175" i="3" s="1"/>
  <c r="M176" i="3" s="1"/>
  <c r="M177" i="3" s="1"/>
  <c r="M178" i="3" s="1"/>
  <c r="M179" i="3" s="1"/>
  <c r="M180" i="3" s="1"/>
  <c r="M181" i="3" s="1"/>
  <c r="M182" i="3" s="1"/>
  <c r="M183" i="3" s="1"/>
  <c r="M184" i="3" s="1"/>
  <c r="M185" i="3" s="1"/>
  <c r="M186" i="3" s="1"/>
  <c r="M187" i="3" s="1"/>
  <c r="M188" i="3" s="1"/>
  <c r="M189" i="3" s="1"/>
  <c r="M190" i="3" s="1"/>
  <c r="M191" i="3" s="1"/>
  <c r="H30" i="1"/>
  <c r="G30" i="1"/>
  <c r="K106" i="3"/>
  <c r="C146" i="3"/>
  <c r="F145" i="3"/>
  <c r="E85" i="3"/>
  <c r="K166" i="3" l="1"/>
  <c r="F30" i="1"/>
  <c r="I31" i="1"/>
  <c r="H31" i="1"/>
  <c r="G31" i="1"/>
  <c r="K107" i="3"/>
  <c r="D85" i="3"/>
  <c r="F85" i="3" s="1"/>
  <c r="C86" i="3" s="1"/>
  <c r="E146" i="3"/>
  <c r="K167" i="3" l="1"/>
  <c r="F31" i="1"/>
  <c r="I32" i="1"/>
  <c r="H32" i="1"/>
  <c r="G32" i="1"/>
  <c r="D146" i="3"/>
  <c r="K108" i="3"/>
  <c r="K168" i="3" l="1"/>
  <c r="F32" i="1"/>
  <c r="I33" i="1"/>
  <c r="H33" i="1"/>
  <c r="G33" i="1"/>
  <c r="K109" i="3"/>
  <c r="C147" i="3"/>
  <c r="F146" i="3"/>
  <c r="E86" i="3"/>
  <c r="F33" i="1" l="1"/>
  <c r="K169" i="3"/>
  <c r="I34" i="1"/>
  <c r="G34" i="1"/>
  <c r="H34" i="1"/>
  <c r="D86" i="3"/>
  <c r="F86" i="3" s="1"/>
  <c r="C87" i="3" s="1"/>
  <c r="E147" i="3"/>
  <c r="K110" i="3"/>
  <c r="K170" i="3" l="1"/>
  <c r="F34" i="1"/>
  <c r="I35" i="1"/>
  <c r="H35" i="1"/>
  <c r="G35" i="1"/>
  <c r="D147" i="3"/>
  <c r="K111" i="3"/>
  <c r="K171" i="3" l="1"/>
  <c r="F35" i="1"/>
  <c r="I36" i="1"/>
  <c r="H36" i="1"/>
  <c r="G36" i="1"/>
  <c r="K112" i="3"/>
  <c r="C148" i="3"/>
  <c r="F147" i="3"/>
  <c r="E87" i="3"/>
  <c r="K172" i="3" l="1"/>
  <c r="F36" i="1"/>
  <c r="I37" i="1"/>
  <c r="H37" i="1"/>
  <c r="G37" i="1"/>
  <c r="D87" i="3"/>
  <c r="F87" i="3" s="1"/>
  <c r="C88" i="3" s="1"/>
  <c r="E148" i="3"/>
  <c r="K113" i="3"/>
  <c r="K173" i="3" l="1"/>
  <c r="F37" i="1"/>
  <c r="I38" i="1"/>
  <c r="H38" i="1"/>
  <c r="G38" i="1"/>
  <c r="K114" i="3"/>
  <c r="D148" i="3"/>
  <c r="K174" i="3" l="1"/>
  <c r="F38" i="1"/>
  <c r="I39" i="1"/>
  <c r="H39" i="1"/>
  <c r="G39" i="1"/>
  <c r="K115" i="3"/>
  <c r="C149" i="3"/>
  <c r="F148" i="3"/>
  <c r="E88" i="3"/>
  <c r="K175" i="3" l="1"/>
  <c r="F39" i="1"/>
  <c r="I40" i="1"/>
  <c r="H40" i="1"/>
  <c r="G40" i="1"/>
  <c r="K116" i="3"/>
  <c r="D88" i="3"/>
  <c r="F88" i="3" s="1"/>
  <c r="C89" i="3" s="1"/>
  <c r="E149" i="3"/>
  <c r="F40" i="1" l="1"/>
  <c r="K176" i="3"/>
  <c r="I41" i="1"/>
  <c r="G41" i="1"/>
  <c r="K177" i="3" s="1"/>
  <c r="H41" i="1"/>
  <c r="K117" i="3"/>
  <c r="D149" i="3"/>
  <c r="F41" i="1" l="1"/>
  <c r="I42" i="1"/>
  <c r="G42" i="1"/>
  <c r="H42" i="1"/>
  <c r="C150" i="3"/>
  <c r="F149" i="3"/>
  <c r="E89" i="3"/>
  <c r="K118" i="3"/>
  <c r="F42" i="1" l="1"/>
  <c r="K178" i="3"/>
  <c r="I43" i="1"/>
  <c r="G43" i="1"/>
  <c r="H43" i="1"/>
  <c r="D89" i="3"/>
  <c r="F89" i="3" s="1"/>
  <c r="C90" i="3" s="1"/>
  <c r="E150" i="3"/>
  <c r="K119" i="3"/>
  <c r="K179" i="3" l="1"/>
  <c r="F43" i="1"/>
  <c r="I44" i="1"/>
  <c r="H44" i="1"/>
  <c r="G44" i="1"/>
  <c r="K120" i="3"/>
  <c r="D150" i="3"/>
  <c r="K180" i="3" l="1"/>
  <c r="F44" i="1"/>
  <c r="I45" i="1"/>
  <c r="G45" i="1"/>
  <c r="H45" i="1"/>
  <c r="K121" i="3"/>
  <c r="C151" i="3"/>
  <c r="F150" i="3"/>
  <c r="E90" i="3"/>
  <c r="K181" i="3" l="1"/>
  <c r="I46" i="1"/>
  <c r="G46" i="1"/>
  <c r="H46" i="1"/>
  <c r="F45" i="1"/>
  <c r="K122" i="3"/>
  <c r="K182" i="3"/>
  <c r="D90" i="3"/>
  <c r="F90" i="3" s="1"/>
  <c r="C91" i="3" s="1"/>
  <c r="E151" i="3"/>
  <c r="F46" i="1" l="1"/>
  <c r="I47" i="1"/>
  <c r="H47" i="1"/>
  <c r="G47" i="1"/>
  <c r="K123" i="3"/>
  <c r="D151" i="3"/>
  <c r="K183" i="3" l="1"/>
  <c r="F47" i="1"/>
  <c r="I48" i="1"/>
  <c r="H48" i="1"/>
  <c r="G48" i="1"/>
  <c r="C152" i="3"/>
  <c r="F151" i="3"/>
  <c r="E91" i="3"/>
  <c r="K124" i="3"/>
  <c r="F48" i="1" l="1"/>
  <c r="K184" i="3"/>
  <c r="I49" i="1"/>
  <c r="G49" i="1"/>
  <c r="H49" i="1"/>
  <c r="D91" i="3"/>
  <c r="F91" i="3" s="1"/>
  <c r="C92" i="3" s="1"/>
  <c r="E152" i="3"/>
  <c r="K125" i="3"/>
  <c r="K185" i="3" l="1"/>
  <c r="F49" i="1"/>
  <c r="I50" i="1"/>
  <c r="H50" i="1"/>
  <c r="G50" i="1"/>
  <c r="K126" i="3"/>
  <c r="D152" i="3"/>
  <c r="K186" i="3" l="1"/>
  <c r="F50" i="1"/>
  <c r="I51" i="1"/>
  <c r="H51" i="1"/>
  <c r="G51" i="1"/>
  <c r="K127" i="3"/>
  <c r="C153" i="3"/>
  <c r="F152" i="3"/>
  <c r="E92" i="3"/>
  <c r="K187" i="3" l="1"/>
  <c r="F51" i="1"/>
  <c r="I52" i="1"/>
  <c r="G52" i="1"/>
  <c r="K188" i="3" s="1"/>
  <c r="H52" i="1"/>
  <c r="K128" i="3"/>
  <c r="D92" i="3"/>
  <c r="F92" i="3" s="1"/>
  <c r="C93" i="3" s="1"/>
  <c r="E153" i="3"/>
  <c r="F52" i="1" l="1"/>
  <c r="I53" i="1"/>
  <c r="G53" i="1"/>
  <c r="H53" i="1"/>
  <c r="K129" i="3"/>
  <c r="D153" i="3"/>
  <c r="K189" i="3" l="1"/>
  <c r="F53" i="1"/>
  <c r="I54" i="1"/>
  <c r="H54" i="1"/>
  <c r="G54" i="1"/>
  <c r="K130" i="3"/>
  <c r="C154" i="3"/>
  <c r="F153" i="3"/>
  <c r="E93" i="3"/>
  <c r="K190" i="3" l="1"/>
  <c r="F54" i="1"/>
  <c r="I55" i="1"/>
  <c r="H55" i="1"/>
  <c r="G55" i="1"/>
  <c r="D93" i="3"/>
  <c r="F93" i="3" s="1"/>
  <c r="C94" i="3" s="1"/>
  <c r="E154" i="3"/>
  <c r="K191" i="3" l="1"/>
  <c r="F55" i="1"/>
  <c r="F58" i="1" s="1"/>
  <c r="D154" i="3"/>
  <c r="C155" i="3" l="1"/>
  <c r="F154" i="3"/>
  <c r="E94" i="3"/>
  <c r="D94" i="3" l="1"/>
  <c r="F94" i="3" s="1"/>
  <c r="C95" i="3" s="1"/>
  <c r="E155" i="3"/>
  <c r="D155" i="3" l="1"/>
  <c r="C156" i="3" l="1"/>
  <c r="F155" i="3"/>
  <c r="E95" i="3"/>
  <c r="D95" i="3" l="1"/>
  <c r="F95" i="3" s="1"/>
  <c r="C96" i="3" s="1"/>
  <c r="E156" i="3"/>
  <c r="D156" i="3" l="1"/>
  <c r="C157" i="3" l="1"/>
  <c r="F156" i="3"/>
  <c r="E96" i="3"/>
  <c r="D96" i="3" l="1"/>
  <c r="F96" i="3" s="1"/>
  <c r="C97" i="3" s="1"/>
  <c r="E157" i="3"/>
  <c r="D157" i="3" l="1"/>
  <c r="C158" i="3" l="1"/>
  <c r="F157" i="3"/>
  <c r="E97" i="3"/>
  <c r="D97" i="3" l="1"/>
  <c r="F97" i="3" s="1"/>
  <c r="C98" i="3" s="1"/>
  <c r="E158" i="3"/>
  <c r="D158" i="3" l="1"/>
  <c r="C159" i="3" l="1"/>
  <c r="F158" i="3"/>
  <c r="E98" i="3"/>
  <c r="J81" i="3"/>
  <c r="L82" i="3"/>
  <c r="L143" i="3" l="1"/>
  <c r="D98" i="3"/>
  <c r="F98" i="3" s="1"/>
  <c r="C99" i="3" s="1"/>
  <c r="E159" i="3"/>
  <c r="J142" i="3"/>
  <c r="L83" i="3"/>
  <c r="L144" i="3" s="1"/>
  <c r="J82" i="3"/>
  <c r="J143" i="3" s="1"/>
  <c r="D159" i="3" l="1"/>
  <c r="L84" i="3"/>
  <c r="J83" i="3"/>
  <c r="J144" i="3" s="1"/>
  <c r="L145" i="3" l="1"/>
  <c r="C160" i="3"/>
  <c r="F159" i="3"/>
  <c r="E99" i="3"/>
  <c r="L85" i="3"/>
  <c r="L146" i="3" s="1"/>
  <c r="J84" i="3"/>
  <c r="J145" i="3" s="1"/>
  <c r="L86" i="3"/>
  <c r="L147" i="3" s="1"/>
  <c r="D99" i="3" l="1"/>
  <c r="F99" i="3" s="1"/>
  <c r="C100" i="3" s="1"/>
  <c r="E160" i="3"/>
  <c r="J85" i="3"/>
  <c r="J146" i="3" s="1"/>
  <c r="L87" i="3"/>
  <c r="L148" i="3" s="1"/>
  <c r="D160" i="3" l="1"/>
  <c r="J86" i="3"/>
  <c r="J147" i="3" s="1"/>
  <c r="L88" i="3"/>
  <c r="L149" i="3" s="1"/>
  <c r="C161" i="3" l="1"/>
  <c r="F160" i="3"/>
  <c r="E100" i="3"/>
  <c r="J87" i="3"/>
  <c r="J148" i="3" s="1"/>
  <c r="L89" i="3"/>
  <c r="L150" i="3" s="1"/>
  <c r="D100" i="3" l="1"/>
  <c r="F100" i="3" s="1"/>
  <c r="C101" i="3" s="1"/>
  <c r="E161" i="3"/>
  <c r="J88" i="3"/>
  <c r="J149" i="3" s="1"/>
  <c r="L90" i="3"/>
  <c r="L151" i="3" s="1"/>
  <c r="D161" i="3" l="1"/>
  <c r="J89" i="3"/>
  <c r="J150" i="3" s="1"/>
  <c r="L91" i="3"/>
  <c r="L152" i="3" s="1"/>
  <c r="J90" i="3"/>
  <c r="J151" i="3" s="1"/>
  <c r="C162" i="3" l="1"/>
  <c r="F161" i="3"/>
  <c r="E101" i="3"/>
  <c r="L92" i="3"/>
  <c r="L153" i="3" s="1"/>
  <c r="J91" i="3"/>
  <c r="J152" i="3" s="1"/>
  <c r="L93" i="3"/>
  <c r="L154" i="3" s="1"/>
  <c r="D101" i="3" l="1"/>
  <c r="F101" i="3" s="1"/>
  <c r="C102" i="3" s="1"/>
  <c r="E162" i="3"/>
  <c r="J92" i="3"/>
  <c r="J153" i="3" s="1"/>
  <c r="D162" i="3" l="1"/>
  <c r="L94" i="3"/>
  <c r="J93" i="3"/>
  <c r="J154" i="3" s="1"/>
  <c r="L95" i="3"/>
  <c r="L156" i="3" s="1"/>
  <c r="J94" i="3" l="1"/>
  <c r="J155" i="3" s="1"/>
  <c r="L155" i="3"/>
  <c r="C163" i="3"/>
  <c r="F162" i="3"/>
  <c r="E102" i="3"/>
  <c r="J95" i="3"/>
  <c r="J156" i="3" s="1"/>
  <c r="L96" i="3"/>
  <c r="L157" i="3" s="1"/>
  <c r="D102" i="3" l="1"/>
  <c r="F102" i="3" s="1"/>
  <c r="C103" i="3" s="1"/>
  <c r="E163" i="3"/>
  <c r="L97" i="3"/>
  <c r="L158" i="3" s="1"/>
  <c r="J96" i="3"/>
  <c r="J157" i="3" s="1"/>
  <c r="D163" i="3" l="1"/>
  <c r="J97" i="3"/>
  <c r="J158" i="3" s="1"/>
  <c r="L98" i="3"/>
  <c r="L159" i="3" s="1"/>
  <c r="C164" i="3" l="1"/>
  <c r="F163" i="3"/>
  <c r="E103" i="3"/>
  <c r="L99" i="3"/>
  <c r="L160" i="3" s="1"/>
  <c r="J98" i="3"/>
  <c r="J159" i="3" s="1"/>
  <c r="D103" i="3" l="1"/>
  <c r="F103" i="3" s="1"/>
  <c r="C104" i="3" s="1"/>
  <c r="E164" i="3"/>
  <c r="J99" i="3"/>
  <c r="J160" i="3" s="1"/>
  <c r="L100" i="3"/>
  <c r="L161" i="3" s="1"/>
  <c r="D164" i="3" l="1"/>
  <c r="L101" i="3"/>
  <c r="L162" i="3" s="1"/>
  <c r="J100" i="3"/>
  <c r="J161" i="3" s="1"/>
  <c r="C165" i="3" l="1"/>
  <c r="F164" i="3"/>
  <c r="E104" i="3"/>
  <c r="J101" i="3"/>
  <c r="J162" i="3" s="1"/>
  <c r="L102" i="3"/>
  <c r="L163" i="3" s="1"/>
  <c r="D104" i="3" l="1"/>
  <c r="F104" i="3" s="1"/>
  <c r="C105" i="3" s="1"/>
  <c r="E165" i="3"/>
  <c r="L103" i="3"/>
  <c r="L164" i="3" s="1"/>
  <c r="J102" i="3"/>
  <c r="J163" i="3" s="1"/>
  <c r="D165" i="3" l="1"/>
  <c r="J103" i="3"/>
  <c r="J164" i="3" s="1"/>
  <c r="L104" i="3"/>
  <c r="L165" i="3" s="1"/>
  <c r="C166" i="3" l="1"/>
  <c r="F165" i="3"/>
  <c r="E105" i="3"/>
  <c r="L105" i="3"/>
  <c r="L166" i="3" s="1"/>
  <c r="J104" i="3"/>
  <c r="J165" i="3" s="1"/>
  <c r="D105" i="3" l="1"/>
  <c r="F105" i="3" s="1"/>
  <c r="C106" i="3" s="1"/>
  <c r="E166" i="3"/>
  <c r="J105" i="3"/>
  <c r="J166" i="3" s="1"/>
  <c r="L106" i="3"/>
  <c r="L167" i="3" s="1"/>
  <c r="D166" i="3" l="1"/>
  <c r="L107" i="3"/>
  <c r="L168" i="3" s="1"/>
  <c r="J106" i="3"/>
  <c r="J167" i="3" s="1"/>
  <c r="C167" i="3" l="1"/>
  <c r="F166" i="3"/>
  <c r="E106" i="3"/>
  <c r="J107" i="3"/>
  <c r="J168" i="3" s="1"/>
  <c r="L108" i="3"/>
  <c r="L169" i="3" s="1"/>
  <c r="D106" i="3" l="1"/>
  <c r="F106" i="3" s="1"/>
  <c r="C107" i="3" s="1"/>
  <c r="E167" i="3"/>
  <c r="L109" i="3"/>
  <c r="L170" i="3" s="1"/>
  <c r="J108" i="3"/>
  <c r="J169" i="3" s="1"/>
  <c r="D167" i="3" l="1"/>
  <c r="J109" i="3"/>
  <c r="J170" i="3" s="1"/>
  <c r="L110" i="3"/>
  <c r="L171" i="3" s="1"/>
  <c r="C168" i="3" l="1"/>
  <c r="F167" i="3"/>
  <c r="E107" i="3"/>
  <c r="L111" i="3"/>
  <c r="L172" i="3" s="1"/>
  <c r="J110" i="3"/>
  <c r="J171" i="3" s="1"/>
  <c r="D107" i="3" l="1"/>
  <c r="F107" i="3" s="1"/>
  <c r="C108" i="3" s="1"/>
  <c r="E168" i="3"/>
  <c r="J111" i="3"/>
  <c r="J172" i="3" s="1"/>
  <c r="L112" i="3"/>
  <c r="L173" i="3" s="1"/>
  <c r="D168" i="3" l="1"/>
  <c r="L113" i="3"/>
  <c r="L174" i="3" s="1"/>
  <c r="J112" i="3"/>
  <c r="J173" i="3" s="1"/>
  <c r="C169" i="3" l="1"/>
  <c r="F168" i="3"/>
  <c r="E108" i="3"/>
  <c r="J113" i="3"/>
  <c r="J174" i="3" s="1"/>
  <c r="L114" i="3"/>
  <c r="L175" i="3" s="1"/>
  <c r="D108" i="3" l="1"/>
  <c r="F108" i="3" s="1"/>
  <c r="C109" i="3" s="1"/>
  <c r="E169" i="3"/>
  <c r="L115" i="3"/>
  <c r="L176" i="3" s="1"/>
  <c r="J114" i="3"/>
  <c r="J175" i="3" s="1"/>
  <c r="D169" i="3" l="1"/>
  <c r="J115" i="3"/>
  <c r="J176" i="3" s="1"/>
  <c r="L116" i="3"/>
  <c r="L177" i="3" s="1"/>
  <c r="C170" i="3" l="1"/>
  <c r="F169" i="3"/>
  <c r="E109" i="3"/>
  <c r="L117" i="3"/>
  <c r="L178" i="3" s="1"/>
  <c r="J116" i="3"/>
  <c r="J177" i="3" s="1"/>
  <c r="D109" i="3" l="1"/>
  <c r="F109" i="3" s="1"/>
  <c r="C110" i="3" s="1"/>
  <c r="E170" i="3"/>
  <c r="J117" i="3"/>
  <c r="J178" i="3" s="1"/>
  <c r="L118" i="3"/>
  <c r="L179" i="3" s="1"/>
  <c r="D170" i="3" l="1"/>
  <c r="L119" i="3"/>
  <c r="L180" i="3" s="1"/>
  <c r="J118" i="3"/>
  <c r="J179" i="3" s="1"/>
  <c r="C171" i="3" l="1"/>
  <c r="F170" i="3"/>
  <c r="E110" i="3"/>
  <c r="J119" i="3"/>
  <c r="J180" i="3" s="1"/>
  <c r="L120" i="3"/>
  <c r="L181" i="3" s="1"/>
  <c r="D110" i="3" l="1"/>
  <c r="F110" i="3" s="1"/>
  <c r="C111" i="3" s="1"/>
  <c r="E171" i="3"/>
  <c r="L121" i="3"/>
  <c r="L182" i="3" s="1"/>
  <c r="J120" i="3"/>
  <c r="J181" i="3" s="1"/>
  <c r="D171" i="3" l="1"/>
  <c r="J121" i="3"/>
  <c r="J182" i="3" s="1"/>
  <c r="L122" i="3"/>
  <c r="L183" i="3" s="1"/>
  <c r="C172" i="3" l="1"/>
  <c r="F171" i="3"/>
  <c r="E111" i="3"/>
  <c r="L123" i="3"/>
  <c r="L184" i="3" s="1"/>
  <c r="J122" i="3"/>
  <c r="J183" i="3" s="1"/>
  <c r="D111" i="3" l="1"/>
  <c r="F111" i="3" s="1"/>
  <c r="C112" i="3" s="1"/>
  <c r="E172" i="3"/>
  <c r="J123" i="3"/>
  <c r="J184" i="3" s="1"/>
  <c r="L124" i="3"/>
  <c r="L185" i="3" s="1"/>
  <c r="D172" i="3" l="1"/>
  <c r="L125" i="3"/>
  <c r="L186" i="3" s="1"/>
  <c r="J124" i="3"/>
  <c r="J185" i="3" s="1"/>
  <c r="C173" i="3" l="1"/>
  <c r="F172" i="3"/>
  <c r="E112" i="3"/>
  <c r="J125" i="3"/>
  <c r="J186" i="3" s="1"/>
  <c r="L126" i="3"/>
  <c r="L187" i="3" s="1"/>
  <c r="D112" i="3" l="1"/>
  <c r="F112" i="3" s="1"/>
  <c r="C113" i="3" s="1"/>
  <c r="E173" i="3"/>
  <c r="L127" i="3"/>
  <c r="L188" i="3" s="1"/>
  <c r="J126" i="3"/>
  <c r="J187" i="3" s="1"/>
  <c r="D173" i="3" l="1"/>
  <c r="J127" i="3"/>
  <c r="J188" i="3" s="1"/>
  <c r="L128" i="3"/>
  <c r="L189" i="3" s="1"/>
  <c r="C174" i="3" l="1"/>
  <c r="F173" i="3"/>
  <c r="E113" i="3"/>
  <c r="L129" i="3"/>
  <c r="L190" i="3" s="1"/>
  <c r="J128" i="3"/>
  <c r="J189" i="3" s="1"/>
  <c r="D113" i="3" l="1"/>
  <c r="F113" i="3" s="1"/>
  <c r="C114" i="3" s="1"/>
  <c r="E174" i="3"/>
  <c r="J129" i="3"/>
  <c r="J190" i="3" s="1"/>
  <c r="J130" i="3"/>
  <c r="L130" i="3"/>
  <c r="L191" i="3" l="1"/>
  <c r="D174" i="3"/>
  <c r="J191" i="3"/>
  <c r="J194" i="3" s="1"/>
  <c r="J132" i="3"/>
  <c r="C175" i="3" l="1"/>
  <c r="F174" i="3"/>
  <c r="E114" i="3"/>
  <c r="D114" i="3" l="1"/>
  <c r="F114" i="3" s="1"/>
  <c r="C115" i="3" s="1"/>
  <c r="E175" i="3"/>
  <c r="D175" i="3" l="1"/>
  <c r="C176" i="3" l="1"/>
  <c r="F175" i="3"/>
  <c r="E115" i="3"/>
  <c r="D115" i="3" l="1"/>
  <c r="F115" i="3" s="1"/>
  <c r="C116" i="3" s="1"/>
  <c r="E176" i="3"/>
  <c r="D176" i="3" l="1"/>
  <c r="C177" i="3" l="1"/>
  <c r="F176" i="3"/>
  <c r="E116" i="3"/>
  <c r="D116" i="3" l="1"/>
  <c r="F116" i="3" s="1"/>
  <c r="C117" i="3" s="1"/>
  <c r="E177" i="3"/>
  <c r="D177" i="3" l="1"/>
  <c r="C178" i="3" l="1"/>
  <c r="F177" i="3"/>
  <c r="E117" i="3"/>
  <c r="D117" i="3" l="1"/>
  <c r="F117" i="3" s="1"/>
  <c r="C118" i="3" s="1"/>
  <c r="E178" i="3"/>
  <c r="D178" i="3" l="1"/>
  <c r="C179" i="3" l="1"/>
  <c r="F178" i="3"/>
  <c r="E118" i="3"/>
  <c r="D118" i="3" l="1"/>
  <c r="F118" i="3" s="1"/>
  <c r="C119" i="3" s="1"/>
  <c r="E179" i="3"/>
  <c r="D179" i="3" l="1"/>
  <c r="C180" i="3" l="1"/>
  <c r="F179" i="3"/>
  <c r="E119" i="3"/>
  <c r="D119" i="3" l="1"/>
  <c r="F119" i="3" s="1"/>
  <c r="C120" i="3" s="1"/>
  <c r="E180" i="3"/>
  <c r="D180" i="3" l="1"/>
  <c r="C181" i="3" l="1"/>
  <c r="F180" i="3"/>
  <c r="E120" i="3"/>
  <c r="D120" i="3" l="1"/>
  <c r="F120" i="3" s="1"/>
  <c r="E181" i="3"/>
  <c r="F121" i="3" l="1"/>
  <c r="C121" i="3"/>
  <c r="D181" i="3"/>
  <c r="F122" i="3" l="1"/>
  <c r="C122" i="3"/>
  <c r="C182" i="3"/>
  <c r="F181" i="3"/>
  <c r="E121" i="3"/>
  <c r="F123" i="3" l="1"/>
  <c r="C123" i="3"/>
  <c r="D121" i="3"/>
  <c r="E182" i="3"/>
  <c r="F124" i="3" l="1"/>
  <c r="C124" i="3"/>
  <c r="D182" i="3"/>
  <c r="F125" i="3" l="1"/>
  <c r="C125" i="3"/>
  <c r="C183" i="3"/>
  <c r="F182" i="3"/>
  <c r="E122" i="3"/>
  <c r="F126" i="3" l="1"/>
  <c r="C126" i="3"/>
  <c r="D122" i="3"/>
  <c r="E183" i="3"/>
  <c r="F127" i="3" l="1"/>
  <c r="C127" i="3"/>
  <c r="D183" i="3"/>
  <c r="F128" i="3" l="1"/>
  <c r="C128" i="3"/>
  <c r="C184" i="3"/>
  <c r="F183" i="3"/>
  <c r="E123" i="3"/>
  <c r="F129" i="3" l="1"/>
  <c r="C129" i="3"/>
  <c r="D123" i="3"/>
  <c r="E184" i="3"/>
  <c r="F130" i="3" l="1"/>
  <c r="C130" i="3"/>
  <c r="D184" i="3"/>
  <c r="C185" i="3" l="1"/>
  <c r="F184" i="3"/>
  <c r="E124" i="3"/>
  <c r="D124" i="3" l="1"/>
  <c r="E185" i="3"/>
  <c r="D185" i="3" l="1"/>
  <c r="C186" i="3" l="1"/>
  <c r="F185" i="3"/>
  <c r="E125" i="3"/>
  <c r="D125" i="3" l="1"/>
  <c r="E186" i="3"/>
  <c r="D186" i="3" l="1"/>
  <c r="C187" i="3" l="1"/>
  <c r="F186" i="3"/>
  <c r="E126" i="3"/>
  <c r="D126" i="3" l="1"/>
  <c r="E187" i="3"/>
  <c r="D187" i="3" l="1"/>
  <c r="C188" i="3" l="1"/>
  <c r="F187" i="3"/>
  <c r="E127" i="3"/>
  <c r="D127" i="3" l="1"/>
  <c r="E188" i="3"/>
  <c r="D188" i="3" l="1"/>
  <c r="C189" i="3" l="1"/>
  <c r="F188" i="3"/>
  <c r="E128" i="3"/>
  <c r="D128" i="3" l="1"/>
  <c r="E189" i="3"/>
  <c r="D189" i="3" l="1"/>
  <c r="C190" i="3" l="1"/>
  <c r="F189" i="3"/>
  <c r="E129" i="3"/>
  <c r="D129" i="3" l="1"/>
  <c r="E190" i="3"/>
  <c r="D190" i="3" l="1"/>
  <c r="F190" i="3" l="1"/>
  <c r="E130" i="3"/>
  <c r="D130" i="3" l="1"/>
  <c r="E191" i="3"/>
  <c r="C191" i="3"/>
  <c r="C194" i="3" s="1"/>
  <c r="C132" i="3"/>
  <c r="F191" i="3" l="1"/>
  <c r="D191" i="3"/>
</calcChain>
</file>

<file path=xl/comments1.xml><?xml version="1.0" encoding="utf-8"?>
<comments xmlns="http://schemas.openxmlformats.org/spreadsheetml/2006/main">
  <authors>
    <author>Escourrou, Marie-Laure</author>
  </authors>
  <commentList>
    <comment ref="F39" authorId="0">
      <text>
        <r>
          <rPr>
            <b/>
            <sz val="9"/>
            <color indexed="81"/>
            <rFont val="Tahoma"/>
            <family val="2"/>
          </rPr>
          <t>Définition de l'épargne brute dans la feuille "Annexe"</t>
        </r>
      </text>
    </comment>
    <comment ref="H39" authorId="0">
      <text>
        <r>
          <rPr>
            <b/>
            <sz val="9"/>
            <color indexed="81"/>
            <rFont val="Tahoma"/>
            <family val="2"/>
          </rPr>
          <t>Définition de l'épargne nette dans la feuille "Annexe"</t>
        </r>
      </text>
    </comment>
    <comment ref="F52" authorId="0">
      <text>
        <r>
          <rPr>
            <b/>
            <sz val="9"/>
            <color indexed="81"/>
            <rFont val="Tahoma"/>
            <family val="2"/>
          </rPr>
          <t>Définition de l'épargne brute dans la feuille "Annexe"</t>
        </r>
      </text>
    </comment>
    <comment ref="H52" authorId="0">
      <text>
        <r>
          <rPr>
            <b/>
            <sz val="9"/>
            <color indexed="81"/>
            <rFont val="Tahoma"/>
            <family val="2"/>
          </rPr>
          <t>Définition de l'épargne nette dans la feuille "Annexe"</t>
        </r>
      </text>
    </comment>
    <comment ref="D95" authorId="0">
      <text>
        <r>
          <rPr>
            <b/>
            <sz val="9"/>
            <color indexed="81"/>
            <rFont val="Tahoma"/>
            <family val="2"/>
          </rPr>
          <t>A ne remplir que si vous choisissez un prêt autre que BEI, PCV ou PSPL</t>
        </r>
        <r>
          <rPr>
            <sz val="9"/>
            <color indexed="81"/>
            <rFont val="Tahoma"/>
            <family val="2"/>
          </rPr>
          <t xml:space="preserve">
</t>
        </r>
      </text>
    </comment>
  </commentList>
</comments>
</file>

<file path=xl/sharedStrings.xml><?xml version="1.0" encoding="utf-8"?>
<sst xmlns="http://schemas.openxmlformats.org/spreadsheetml/2006/main" count="205" uniqueCount="145">
  <si>
    <t>Type de projet</t>
  </si>
  <si>
    <t xml:space="preserve">Type de projet </t>
  </si>
  <si>
    <t xml:space="preserve">Date de début des travaux </t>
  </si>
  <si>
    <t>Montant total du projet</t>
  </si>
  <si>
    <t>en terrain</t>
  </si>
  <si>
    <t>en acquisition bâtiment</t>
  </si>
  <si>
    <t>Construction / travaux</t>
  </si>
  <si>
    <t>Autres</t>
  </si>
  <si>
    <t>Encours de dette</t>
  </si>
  <si>
    <t>Epargne brute</t>
  </si>
  <si>
    <t>Epargne nette</t>
  </si>
  <si>
    <t>Annuité</t>
  </si>
  <si>
    <t>Budget principal</t>
  </si>
  <si>
    <t>Durée</t>
  </si>
  <si>
    <t>Taux</t>
  </si>
  <si>
    <t>Subventions de l'AEAG</t>
  </si>
  <si>
    <t>Prêt de la Caisse des dépôts</t>
  </si>
  <si>
    <t>Subvention AEAG</t>
  </si>
  <si>
    <t>Type 1</t>
  </si>
  <si>
    <t>Type 2</t>
  </si>
  <si>
    <t>Type 3</t>
  </si>
  <si>
    <t>Montant</t>
  </si>
  <si>
    <t>Emplois</t>
  </si>
  <si>
    <t>en %</t>
  </si>
  <si>
    <t>en €</t>
  </si>
  <si>
    <t>Ressources</t>
  </si>
  <si>
    <t>Terrain</t>
  </si>
  <si>
    <t>Acquisition bâtiment</t>
  </si>
  <si>
    <t>VRD</t>
  </si>
  <si>
    <t>TOTAL</t>
  </si>
  <si>
    <t>Fonds propres</t>
  </si>
  <si>
    <t>Autres subventions</t>
  </si>
  <si>
    <t>Emprunt CDC</t>
  </si>
  <si>
    <t>Autre prêt pour l'opération</t>
  </si>
  <si>
    <t>Actuel</t>
  </si>
  <si>
    <t>Après invest</t>
  </si>
  <si>
    <t>encours de dette</t>
  </si>
  <si>
    <t>annuité</t>
  </si>
  <si>
    <t>montant de la dette /hab</t>
  </si>
  <si>
    <t xml:space="preserve">Annuité </t>
  </si>
  <si>
    <t>Échéance</t>
  </si>
  <si>
    <t>Date</t>
  </si>
  <si>
    <t>capital 
restant dû</t>
  </si>
  <si>
    <t>dont capital</t>
  </si>
  <si>
    <t>Non éligible</t>
  </si>
  <si>
    <t>montant invest./hab</t>
  </si>
  <si>
    <t>dont intérêts</t>
  </si>
  <si>
    <t xml:space="preserve">Taux </t>
  </si>
  <si>
    <t>Plan d'amortissement du prêt CDC:</t>
  </si>
  <si>
    <t>Amortissement prioritaire:</t>
  </si>
  <si>
    <t>dont:</t>
  </si>
  <si>
    <t>Zone montagne</t>
  </si>
  <si>
    <t xml:space="preserve">Oui </t>
  </si>
  <si>
    <t>Non</t>
  </si>
  <si>
    <t>Budget annexe</t>
  </si>
  <si>
    <t>Analyse financière :</t>
  </si>
  <si>
    <t>Approximation du plan d'amortissement :</t>
  </si>
  <si>
    <t>Ce plan est donné uniquement à titre d'information et n'a aucune valeur d'engagement</t>
  </si>
  <si>
    <t xml:space="preserve">Taux actuel du livret A </t>
  </si>
  <si>
    <t>Restructuration de l'alimentation en eau potable</t>
  </si>
  <si>
    <t>Lutte contre les fuites des résaux d'eau potable</t>
  </si>
  <si>
    <t>Définition de l'épargne brute :</t>
  </si>
  <si>
    <t>Définition de l'épargne nette :</t>
  </si>
  <si>
    <t>Définition du projet :</t>
  </si>
  <si>
    <t>Prêt Caisse des dépôts :</t>
  </si>
  <si>
    <t>vert si inférieur à l'épargne nette , rouge sinon</t>
  </si>
  <si>
    <t>vert si inférieur à 550€, orange si compris entre 550€ et 650€, rouge si supérieur à 650€</t>
  </si>
  <si>
    <t>vert si inférieur à 12 ans, orange si compris entre 12 et 16 ans, rouge si supérieur à 16 ans</t>
  </si>
  <si>
    <t>Autre</t>
  </si>
  <si>
    <t xml:space="preserve">Total : </t>
  </si>
  <si>
    <t>Coût total:</t>
  </si>
  <si>
    <t xml:space="preserve">Coût total : </t>
  </si>
  <si>
    <t>Différé de remboursement</t>
  </si>
  <si>
    <t>Différé de remboursement avance AEAG</t>
  </si>
  <si>
    <t>1 an</t>
  </si>
  <si>
    <t>3 ans</t>
  </si>
  <si>
    <t>2 ans</t>
  </si>
  <si>
    <t>Durée (en années)</t>
  </si>
  <si>
    <t>Coût total du prêt:</t>
  </si>
  <si>
    <t xml:space="preserve">Station d'épuration, réhabilitation réseau </t>
  </si>
  <si>
    <t>Extention réseau de collecte</t>
  </si>
  <si>
    <t>Avance remboursable AEAG</t>
  </si>
  <si>
    <t>Prioritaire</t>
  </si>
  <si>
    <t>Zone montagne / Prioritaire</t>
  </si>
  <si>
    <t>voirie</t>
  </si>
  <si>
    <t>Taux prêt BEI à 15 ans</t>
  </si>
  <si>
    <t>Taux prêt BEI à 25 ans</t>
  </si>
  <si>
    <t>Taux prêt BEI à 20 ans</t>
  </si>
  <si>
    <t>Prêt BEI sur 15 ans</t>
  </si>
  <si>
    <t>Prêt BEI sur 20 ans</t>
  </si>
  <si>
    <t>Prêt BEI sur 25 ans</t>
  </si>
  <si>
    <t>Prêt Croissance Verte</t>
  </si>
  <si>
    <t>Autre prêt (indiquer le taux)</t>
  </si>
  <si>
    <t>Prêt au Secteur Public Local</t>
  </si>
  <si>
    <t xml:space="preserve">Date de début de financement </t>
  </si>
  <si>
    <t>Analyse financière sur budget principal : (uniquement pour les communes de moins de 3.000 habitants)</t>
  </si>
  <si>
    <t>Nombre d'habitants de la commune</t>
  </si>
  <si>
    <t>Annuité d'emprunt</t>
  </si>
  <si>
    <t>(obtenu ou demandé)</t>
  </si>
  <si>
    <t>Montant en €</t>
  </si>
  <si>
    <t>Analyse financière de la commune sur budget annexe :</t>
  </si>
  <si>
    <t>montant invest. Projet eau /hab</t>
  </si>
  <si>
    <t>Libellé du projet</t>
  </si>
  <si>
    <t>Nom de la Commune</t>
  </si>
  <si>
    <t>Construction d'une station d'épuration</t>
  </si>
  <si>
    <t>à</t>
  </si>
  <si>
    <t>veuillez en précisez le montant total, la durée d'endettement et le montant des annuités.</t>
  </si>
  <si>
    <t>Définition de la capacité de désendettement (CAPDES) :</t>
  </si>
  <si>
    <t xml:space="preserve">Après invest </t>
  </si>
  <si>
    <t xml:space="preserve">Si d'autres projets d'investissement sont déjà décidés et inscrits au budget annexe mais dont le financement n'apparait pas encore dans l'encours de dette, </t>
  </si>
  <si>
    <t xml:space="preserve">Si d'autres projets d'investissement sont déjà décidés et inscrits au budget principal mais dont le financement n'apparait pas encore dans l'encours de dette, </t>
  </si>
  <si>
    <t>Eventuellement pour cette opération (en €):</t>
  </si>
  <si>
    <t>Durée souhaitée</t>
  </si>
  <si>
    <t xml:space="preserve">Durée du prêt </t>
  </si>
  <si>
    <t>Attention: les prêts BEI sont obligatoirement sur 15, 20 ou 25 ans</t>
  </si>
  <si>
    <t>CAPDES pour amortissement linéaire</t>
  </si>
  <si>
    <t>CAPDES pour amortissement prioritaire</t>
  </si>
  <si>
    <t>CAPDES pour amortissement prioraitaire</t>
  </si>
  <si>
    <t>Plan d'amortissement total pour le projet eau (prêt CDC + autre prêt + avance remboursable AEAG)</t>
  </si>
  <si>
    <t>Amortissement linéaire (prêt BEI):</t>
  </si>
  <si>
    <t>Amortissement prioritaire (PCV, PSPL): (Attention, ces prêts seront à taux variable)</t>
  </si>
  <si>
    <t>Amortissement linéaire (prêts BEI):</t>
  </si>
  <si>
    <t>Budget annexe de la collectivité (année en cours en € HT):</t>
  </si>
  <si>
    <r>
      <t xml:space="preserve">Coût des travaux </t>
    </r>
    <r>
      <rPr>
        <b/>
        <u/>
        <sz val="11"/>
        <rFont val="Calibri"/>
        <family val="2"/>
        <scheme val="minor"/>
      </rPr>
      <t>(en € HT):</t>
    </r>
  </si>
  <si>
    <t>(au format JJ/MM/AAAA)</t>
  </si>
  <si>
    <t>Plan de financement du projet (en € HT):</t>
  </si>
  <si>
    <t>Si les cases C16 et F16 sont en vert le plan de financement est équilibré.</t>
  </si>
  <si>
    <t xml:space="preserve">Si la colonne D est verte, l'investissement semble opportun,
si elle est jaune, l'investissement comporte des risques,
si elle est rouge, l'investissement semble trop important et nécessite d'être réétudié.  </t>
  </si>
  <si>
    <t>Ondine</t>
  </si>
  <si>
    <t>Budget principal de la collectivité (année en cours en € HT):</t>
  </si>
  <si>
    <t>Financements de l'Agence de l'eau et de la Caisse des dépôts envisagés (en €) :</t>
  </si>
  <si>
    <t>Eligibilité du projet au financement Agence de l'eau et Caisse des Dépôts :</t>
  </si>
  <si>
    <t>Subvention  Agence de l'eau :</t>
  </si>
  <si>
    <t>Avance remboursable Agence de l'eau :</t>
  </si>
  <si>
    <r>
      <t xml:space="preserve">Total des subventions 
</t>
    </r>
    <r>
      <rPr>
        <b/>
        <u/>
        <sz val="11"/>
        <color theme="1"/>
        <rFont val="Calibri"/>
        <family val="2"/>
        <scheme val="minor"/>
      </rPr>
      <t>autres que</t>
    </r>
    <r>
      <rPr>
        <sz val="11"/>
        <color theme="1"/>
        <rFont val="Calibri"/>
        <family val="2"/>
        <scheme val="minor"/>
      </rPr>
      <t xml:space="preserve"> Agence de l'eau (en €)</t>
    </r>
  </si>
  <si>
    <r>
      <rPr>
        <sz val="11"/>
        <color theme="1"/>
        <rFont val="Calibri"/>
        <family val="2"/>
        <scheme val="minor"/>
      </rPr>
      <t>Montant des fonds propres mobilisés</t>
    </r>
    <r>
      <rPr>
        <sz val="10"/>
        <color theme="1"/>
        <rFont val="Calibri"/>
        <family val="2"/>
        <scheme val="minor"/>
      </rPr>
      <t xml:space="preserve">
</t>
    </r>
    <r>
      <rPr>
        <sz val="11"/>
        <color theme="1"/>
        <rFont val="Calibri"/>
        <family val="2"/>
        <scheme val="minor"/>
      </rPr>
      <t>pour le projet (en €)</t>
    </r>
  </si>
  <si>
    <t>Prêt autre que Caisse des Dépots  (montant)</t>
  </si>
  <si>
    <t>Subvention Agence de l'eau</t>
  </si>
  <si>
    <t>Avance remboursable Agence de l'eau</t>
  </si>
  <si>
    <t>Prêt Caisse des Dépots (type)</t>
  </si>
  <si>
    <t>Taux "autre prêt" Caisse des Dépôts</t>
  </si>
  <si>
    <t>Montant max finançable par la Caisse des Dépots</t>
  </si>
  <si>
    <t>Descriptif du projet et élements financiers</t>
  </si>
  <si>
    <t>projet :</t>
  </si>
  <si>
    <t>Résultats de l'analyse pour le</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</si>
</sst>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4" formatCode="_-* #,##0.00\ &quot;€&quot;_-;\-* #,##0.00\ &quot;€&quot;_-;_-* &quot;-&quot;??\ &quot;€&quot;_-;_-@_-"/>
    <numFmt numFmtId="43" formatCode="_-* #,##0.00\ _€_-;\-* #,##0.00\ _€_-;_-* &quot;-&quot;??\ _€_-;_-@_-"/>
    <numFmt numFmtId="164" formatCode="_-* #,##0\ _€_-;\-* #,##0\ _€_-;_-* &quot;-&quot;??\ _€_-;_-@_-"/>
    <numFmt numFmtId="165" formatCode="#,##0.00\ &quot;€&quot;"/>
    <numFmt numFmtId="166" formatCode="0.0"/>
  </numFmts>
  <fonts count="26"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10"/>
      <color theme="1"/>
      <name val="Calibri"/>
      <family val="2"/>
      <scheme val="minor"/>
    </font>
    <font>
      <b/>
      <u/>
      <sz val="11"/>
      <color theme="1"/>
      <name val="Calibri"/>
      <family val="2"/>
      <scheme val="minor"/>
    </font>
    <font>
      <b/>
      <u val="singleAccounting"/>
      <sz val="11"/>
      <color theme="1"/>
      <name val="Calibri"/>
      <family val="2"/>
      <scheme val="minor"/>
    </font>
    <font>
      <b/>
      <sz val="18"/>
      <color theme="1"/>
      <name val="Calibri"/>
      <family val="2"/>
      <scheme val="minor"/>
    </font>
    <font>
      <i/>
      <u/>
      <sz val="11"/>
      <color theme="1"/>
      <name val="Calibri"/>
      <family val="2"/>
      <scheme val="minor"/>
    </font>
    <font>
      <b/>
      <u/>
      <sz val="12"/>
      <color theme="1"/>
      <name val="Calibri"/>
      <family val="2"/>
      <scheme val="minor"/>
    </font>
    <font>
      <b/>
      <sz val="9"/>
      <color indexed="81"/>
      <name val="Tahoma"/>
      <family val="2"/>
    </font>
    <font>
      <sz val="8"/>
      <color theme="1"/>
      <name val="Calibri"/>
      <family val="2"/>
      <scheme val="minor"/>
    </font>
    <font>
      <sz val="7"/>
      <color theme="1"/>
      <name val="Calibri"/>
      <family val="2"/>
      <scheme val="minor"/>
    </font>
    <font>
      <sz val="9"/>
      <color indexed="81"/>
      <name val="Tahoma"/>
      <family val="2"/>
    </font>
    <font>
      <sz val="10"/>
      <name val="Calibri"/>
      <family val="2"/>
      <scheme val="minor"/>
    </font>
    <font>
      <sz val="11"/>
      <name val="Calibri"/>
      <family val="2"/>
      <scheme val="minor"/>
    </font>
    <font>
      <b/>
      <sz val="12"/>
      <color theme="1"/>
      <name val="Calibri"/>
      <family val="2"/>
      <scheme val="minor"/>
    </font>
    <font>
      <b/>
      <u/>
      <sz val="20"/>
      <color theme="1"/>
      <name val="Calibri"/>
      <family val="2"/>
      <scheme val="minor"/>
    </font>
    <font>
      <b/>
      <sz val="11"/>
      <color rgb="FFFF0000"/>
      <name val="Calibri"/>
      <family val="2"/>
      <scheme val="minor"/>
    </font>
    <font>
      <i/>
      <sz val="11"/>
      <color theme="1"/>
      <name val="Calibri"/>
      <family val="2"/>
      <scheme val="minor"/>
    </font>
    <font>
      <b/>
      <sz val="20"/>
      <color theme="1"/>
      <name val="Calibri"/>
      <family val="2"/>
      <scheme val="minor"/>
    </font>
    <font>
      <b/>
      <sz val="11"/>
      <name val="Calibri"/>
      <family val="2"/>
      <scheme val="minor"/>
    </font>
    <font>
      <b/>
      <u/>
      <sz val="11"/>
      <name val="Calibri"/>
      <family val="2"/>
      <scheme val="minor"/>
    </font>
    <font>
      <b/>
      <sz val="14"/>
      <color rgb="FFC00000"/>
      <name val="Calibri"/>
      <family val="2"/>
      <scheme val="minor"/>
    </font>
    <font>
      <b/>
      <i/>
      <sz val="11"/>
      <color theme="1"/>
      <name val="Calibri"/>
      <family val="2"/>
      <scheme val="minor"/>
    </font>
    <font>
      <b/>
      <sz val="16"/>
      <color rgb="FFC00000"/>
      <name val="Calibri"/>
      <family val="2"/>
      <scheme val="minor"/>
    </font>
  </fonts>
  <fills count="10">
    <fill>
      <patternFill patternType="none"/>
    </fill>
    <fill>
      <patternFill patternType="gray125"/>
    </fill>
    <fill>
      <patternFill patternType="solid">
        <fgColor rgb="FFFFC000"/>
        <bgColor indexed="64"/>
      </patternFill>
    </fill>
    <fill>
      <patternFill patternType="solid">
        <fgColor theme="3" tint="0.79998168889431442"/>
        <bgColor indexed="64"/>
      </patternFill>
    </fill>
    <fill>
      <patternFill patternType="solid">
        <fgColor theme="0" tint="-0.249977111117893"/>
        <bgColor indexed="64"/>
      </patternFill>
    </fill>
    <fill>
      <patternFill patternType="solid">
        <fgColor rgb="FFFFFF00"/>
        <bgColor indexed="64"/>
      </patternFill>
    </fill>
    <fill>
      <patternFill patternType="solid">
        <fgColor theme="0" tint="-0.14999847407452621"/>
        <bgColor indexed="64"/>
      </patternFill>
    </fill>
    <fill>
      <patternFill patternType="solid">
        <fgColor rgb="FF92D050"/>
        <bgColor indexed="64"/>
      </patternFill>
    </fill>
    <fill>
      <patternFill patternType="solid">
        <fgColor theme="3" tint="0.59999389629810485"/>
        <bgColor indexed="64"/>
      </patternFill>
    </fill>
    <fill>
      <patternFill patternType="solid">
        <fgColor theme="0"/>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diagonal/>
    </border>
    <border>
      <left style="thin">
        <color indexed="64"/>
      </left>
      <right style="thin">
        <color indexed="64"/>
      </right>
      <top/>
      <bottom/>
      <diagonal/>
    </border>
    <border>
      <left style="thick">
        <color indexed="64"/>
      </left>
      <right/>
      <top/>
      <bottom/>
      <diagonal/>
    </border>
    <border>
      <left/>
      <right style="thick">
        <color indexed="64"/>
      </right>
      <top style="thick">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diagonal/>
    </border>
    <border>
      <left style="thick">
        <color indexed="64"/>
      </left>
      <right/>
      <top style="thick">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108">
    <xf numFmtId="0" fontId="0" fillId="0" borderId="0" xfId="0"/>
    <xf numFmtId="0" fontId="0" fillId="0" borderId="1" xfId="0" applyBorder="1"/>
    <xf numFmtId="0" fontId="0" fillId="2" borderId="1" xfId="0" applyFill="1" applyBorder="1"/>
    <xf numFmtId="0" fontId="0" fillId="2" borderId="2" xfId="0" applyFill="1" applyBorder="1"/>
    <xf numFmtId="0" fontId="0" fillId="0" borderId="3" xfId="0" applyBorder="1"/>
    <xf numFmtId="0" fontId="0" fillId="2" borderId="3" xfId="0" applyFill="1" applyBorder="1"/>
    <xf numFmtId="0" fontId="4" fillId="2" borderId="1" xfId="0" applyFont="1" applyFill="1" applyBorder="1"/>
    <xf numFmtId="49" fontId="0" fillId="2" borderId="1" xfId="0" applyNumberFormat="1" applyFill="1" applyBorder="1" applyAlignment="1">
      <alignment wrapText="1"/>
    </xf>
    <xf numFmtId="0" fontId="5" fillId="0" borderId="0" xfId="0" applyFont="1"/>
    <xf numFmtId="0" fontId="0" fillId="0" borderId="0" xfId="0" applyBorder="1"/>
    <xf numFmtId="44" fontId="0" fillId="0" borderId="1" xfId="2" applyFont="1" applyBorder="1"/>
    <xf numFmtId="0" fontId="3" fillId="0" borderId="1" xfId="0" applyFont="1" applyBorder="1"/>
    <xf numFmtId="9" fontId="0" fillId="0" borderId="1" xfId="3" applyFont="1" applyBorder="1"/>
    <xf numFmtId="44" fontId="0" fillId="0" borderId="1" xfId="0" applyNumberFormat="1" applyBorder="1"/>
    <xf numFmtId="0" fontId="0" fillId="0" borderId="5" xfId="0" applyBorder="1"/>
    <xf numFmtId="0" fontId="0" fillId="0" borderId="6" xfId="0" applyBorder="1"/>
    <xf numFmtId="44" fontId="0" fillId="0" borderId="0" xfId="2" applyFont="1" applyBorder="1"/>
    <xf numFmtId="44" fontId="6" fillId="0" borderId="0" xfId="2" applyFont="1" applyBorder="1"/>
    <xf numFmtId="44" fontId="2" fillId="0" borderId="0" xfId="2" applyFont="1" applyBorder="1"/>
    <xf numFmtId="0" fontId="0" fillId="2" borderId="1" xfId="0" applyFont="1" applyFill="1" applyBorder="1" applyAlignment="1">
      <alignment wrapText="1"/>
    </xf>
    <xf numFmtId="0" fontId="0" fillId="2" borderId="1" xfId="0" applyFill="1" applyBorder="1" applyAlignment="1">
      <alignment wrapText="1"/>
    </xf>
    <xf numFmtId="0" fontId="2" fillId="0" borderId="0" xfId="0" applyFont="1"/>
    <xf numFmtId="44" fontId="0" fillId="4" borderId="1" xfId="2" applyFont="1" applyFill="1" applyBorder="1"/>
    <xf numFmtId="14" fontId="0" fillId="0" borderId="1" xfId="0" applyNumberFormat="1" applyBorder="1"/>
    <xf numFmtId="165" fontId="0" fillId="0" borderId="1" xfId="0" applyNumberFormat="1" applyBorder="1"/>
    <xf numFmtId="165" fontId="0" fillId="0" borderId="0" xfId="0" applyNumberFormat="1"/>
    <xf numFmtId="0" fontId="7" fillId="0" borderId="0" xfId="0" applyFont="1"/>
    <xf numFmtId="0" fontId="8" fillId="0" borderId="0" xfId="0" applyFont="1"/>
    <xf numFmtId="0" fontId="9" fillId="0" borderId="0" xfId="0" applyFont="1"/>
    <xf numFmtId="166" fontId="0" fillId="0" borderId="1" xfId="0" applyNumberFormat="1" applyBorder="1"/>
    <xf numFmtId="0" fontId="0" fillId="0" borderId="14" xfId="0" applyFill="1" applyBorder="1"/>
    <xf numFmtId="0" fontId="11" fillId="0" borderId="1" xfId="0" applyFont="1" applyBorder="1"/>
    <xf numFmtId="0" fontId="0" fillId="0" borderId="15" xfId="0" applyBorder="1"/>
    <xf numFmtId="0" fontId="0" fillId="0" borderId="18" xfId="0" applyBorder="1"/>
    <xf numFmtId="0" fontId="3" fillId="5" borderId="19" xfId="0" applyFont="1" applyFill="1" applyBorder="1"/>
    <xf numFmtId="165" fontId="3" fillId="5" borderId="16" xfId="0" applyNumberFormat="1" applyFont="1" applyFill="1" applyBorder="1"/>
    <xf numFmtId="0" fontId="3" fillId="5" borderId="17" xfId="0" applyFont="1" applyFill="1" applyBorder="1"/>
    <xf numFmtId="44" fontId="0" fillId="0" borderId="0" xfId="2" applyFont="1" applyBorder="1" applyProtection="1">
      <protection locked="0"/>
    </xf>
    <xf numFmtId="0" fontId="3" fillId="5" borderId="20" xfId="0" applyFont="1" applyFill="1" applyBorder="1"/>
    <xf numFmtId="165" fontId="3" fillId="5" borderId="21" xfId="0" applyNumberFormat="1" applyFont="1" applyFill="1" applyBorder="1"/>
    <xf numFmtId="0" fontId="0" fillId="6" borderId="1" xfId="0" applyFill="1" applyBorder="1"/>
    <xf numFmtId="44" fontId="0" fillId="6" borderId="1" xfId="2" applyFont="1" applyFill="1" applyBorder="1"/>
    <xf numFmtId="9" fontId="0" fillId="6" borderId="1" xfId="3" applyFont="1" applyFill="1" applyBorder="1"/>
    <xf numFmtId="0" fontId="3" fillId="0" borderId="0" xfId="0" applyFont="1" applyBorder="1"/>
    <xf numFmtId="9" fontId="0" fillId="0" borderId="0" xfId="3" applyFont="1" applyBorder="1"/>
    <xf numFmtId="44" fontId="16" fillId="0" borderId="8" xfId="2" applyFont="1" applyBorder="1"/>
    <xf numFmtId="9" fontId="0" fillId="0" borderId="10" xfId="3" applyFont="1" applyBorder="1"/>
    <xf numFmtId="44" fontId="16" fillId="0" borderId="7" xfId="2" applyFont="1" applyBorder="1" applyAlignment="1">
      <alignment horizontal="left"/>
    </xf>
    <xf numFmtId="9" fontId="0" fillId="0" borderId="13" xfId="3" applyFont="1" applyBorder="1"/>
    <xf numFmtId="44" fontId="16" fillId="0" borderId="11" xfId="2" applyFont="1" applyBorder="1"/>
    <xf numFmtId="9" fontId="0" fillId="0" borderId="4" xfId="3" applyFont="1" applyBorder="1"/>
    <xf numFmtId="0" fontId="0" fillId="0" borderId="0" xfId="0" applyAlignment="1"/>
    <xf numFmtId="14" fontId="0" fillId="0" borderId="0" xfId="0" applyNumberFormat="1" applyBorder="1" applyProtection="1">
      <protection locked="0"/>
    </xf>
    <xf numFmtId="0" fontId="17" fillId="0" borderId="0" xfId="0" applyFont="1" applyAlignment="1"/>
    <xf numFmtId="0" fontId="0" fillId="2" borderId="1" xfId="0" applyFill="1" applyBorder="1" applyAlignment="1">
      <alignment horizontal="center" vertical="center"/>
    </xf>
    <xf numFmtId="0" fontId="0" fillId="0" borderId="0" xfId="0" applyAlignment="1">
      <alignment horizontal="center" vertical="center"/>
    </xf>
    <xf numFmtId="0" fontId="0" fillId="2" borderId="1" xfId="0" applyFill="1" applyBorder="1" applyAlignment="1">
      <alignment horizontal="center" vertical="center" wrapText="1"/>
    </xf>
    <xf numFmtId="10" fontId="14" fillId="5" borderId="1" xfId="3" applyNumberFormat="1" applyFont="1" applyFill="1" applyBorder="1" applyProtection="1">
      <protection locked="0"/>
    </xf>
    <xf numFmtId="0" fontId="18" fillId="0" borderId="0" xfId="0" applyFont="1"/>
    <xf numFmtId="0" fontId="19" fillId="0" borderId="0" xfId="0" applyFont="1" applyAlignment="1">
      <alignment horizontal="center"/>
    </xf>
    <xf numFmtId="0" fontId="3" fillId="0" borderId="0" xfId="0" applyFont="1"/>
    <xf numFmtId="0" fontId="0" fillId="0" borderId="0" xfId="0" applyBorder="1" applyAlignment="1">
      <alignment horizontal="center"/>
    </xf>
    <xf numFmtId="0" fontId="20" fillId="0" borderId="11" xfId="0" applyFont="1" applyBorder="1" applyAlignment="1">
      <alignment horizontal="right"/>
    </xf>
    <xf numFmtId="0" fontId="20" fillId="0" borderId="12" xfId="0" applyFont="1" applyBorder="1"/>
    <xf numFmtId="0" fontId="0" fillId="0" borderId="12" xfId="0" applyBorder="1"/>
    <xf numFmtId="0" fontId="0" fillId="0" borderId="4" xfId="0" applyBorder="1"/>
    <xf numFmtId="0" fontId="0" fillId="7" borderId="1" xfId="0" applyFill="1" applyBorder="1" applyProtection="1">
      <protection locked="0"/>
    </xf>
    <xf numFmtId="0" fontId="12" fillId="7" borderId="3" xfId="0" applyFont="1" applyFill="1" applyBorder="1" applyProtection="1">
      <protection locked="0"/>
    </xf>
    <xf numFmtId="14" fontId="0" fillId="7" borderId="3" xfId="0" applyNumberFormat="1" applyFill="1" applyBorder="1" applyProtection="1">
      <protection locked="0"/>
    </xf>
    <xf numFmtId="164" fontId="0" fillId="7" borderId="1" xfId="1" applyNumberFormat="1" applyFont="1" applyFill="1" applyBorder="1" applyProtection="1">
      <protection locked="0"/>
    </xf>
    <xf numFmtId="44" fontId="0" fillId="7" borderId="1" xfId="2" applyFont="1" applyFill="1" applyBorder="1" applyProtection="1">
      <protection locked="0"/>
    </xf>
    <xf numFmtId="0" fontId="21" fillId="0" borderId="0" xfId="0" applyFont="1" applyBorder="1"/>
    <xf numFmtId="10" fontId="0" fillId="7" borderId="1" xfId="3" applyNumberFormat="1" applyFont="1" applyFill="1" applyBorder="1" applyProtection="1">
      <protection locked="0"/>
    </xf>
    <xf numFmtId="0" fontId="23" fillId="0" borderId="0" xfId="0" applyFont="1"/>
    <xf numFmtId="0" fontId="4" fillId="2" borderId="1" xfId="0" applyFont="1" applyFill="1" applyBorder="1" applyAlignment="1">
      <alignment wrapText="1"/>
    </xf>
    <xf numFmtId="0" fontId="0" fillId="9" borderId="0" xfId="0" applyFill="1" applyBorder="1"/>
    <xf numFmtId="0" fontId="0" fillId="9" borderId="0" xfId="0" applyFill="1" applyBorder="1" applyProtection="1">
      <protection locked="0"/>
    </xf>
    <xf numFmtId="0" fontId="24" fillId="0" borderId="0" xfId="0" applyFont="1"/>
    <xf numFmtId="2" fontId="0" fillId="0" borderId="1" xfId="0" applyNumberFormat="1" applyBorder="1"/>
    <xf numFmtId="44" fontId="0" fillId="8" borderId="1" xfId="2" applyFont="1" applyFill="1" applyBorder="1" applyProtection="1">
      <protection hidden="1"/>
    </xf>
    <xf numFmtId="0" fontId="0" fillId="8" borderId="1" xfId="0" applyFill="1" applyBorder="1" applyProtection="1">
      <protection hidden="1"/>
    </xf>
    <xf numFmtId="10" fontId="0" fillId="5" borderId="1" xfId="3" applyNumberFormat="1" applyFont="1" applyFill="1" applyBorder="1" applyProtection="1">
      <protection locked="0"/>
    </xf>
    <xf numFmtId="44" fontId="0" fillId="8" borderId="1" xfId="0" applyNumberFormat="1" applyFill="1" applyBorder="1" applyProtection="1">
      <protection hidden="1"/>
    </xf>
    <xf numFmtId="44" fontId="15" fillId="8" borderId="1" xfId="0" applyNumberFormat="1" applyFont="1" applyFill="1" applyBorder="1" applyProtection="1">
      <protection hidden="1"/>
    </xf>
    <xf numFmtId="10" fontId="0" fillId="8" borderId="1" xfId="3" applyNumberFormat="1" applyFont="1" applyFill="1" applyBorder="1" applyProtection="1">
      <protection hidden="1"/>
    </xf>
    <xf numFmtId="0" fontId="25" fillId="0" borderId="0" xfId="0" applyFont="1"/>
    <xf numFmtId="0" fontId="15" fillId="2" borderId="1" xfId="0" applyFont="1" applyFill="1" applyBorder="1" applyAlignment="1">
      <alignment wrapText="1"/>
    </xf>
    <xf numFmtId="0" fontId="0" fillId="2" borderId="1" xfId="0" applyFill="1" applyBorder="1" applyAlignment="1">
      <alignment vertical="center"/>
    </xf>
    <xf numFmtId="0" fontId="20" fillId="0" borderId="0" xfId="0" applyFont="1" applyBorder="1"/>
    <xf numFmtId="0" fontId="20" fillId="0" borderId="23" xfId="0" applyFont="1" applyBorder="1"/>
    <xf numFmtId="0" fontId="0" fillId="0" borderId="24" xfId="0" applyBorder="1"/>
    <xf numFmtId="0" fontId="0" fillId="0" borderId="25" xfId="0" applyBorder="1"/>
    <xf numFmtId="0" fontId="0" fillId="0" borderId="26" xfId="0" applyBorder="1"/>
    <xf numFmtId="0" fontId="0" fillId="2" borderId="1" xfId="0" applyFill="1" applyBorder="1" applyAlignment="1">
      <alignment horizontal="center"/>
    </xf>
    <xf numFmtId="0" fontId="0" fillId="7" borderId="1" xfId="0" applyFill="1" applyBorder="1" applyAlignment="1" applyProtection="1">
      <alignment horizontal="center"/>
      <protection locked="0"/>
    </xf>
    <xf numFmtId="0" fontId="0" fillId="0" borderId="20" xfId="0" applyBorder="1" applyAlignment="1" applyProtection="1">
      <alignment horizontal="center"/>
      <protection hidden="1"/>
    </xf>
    <xf numFmtId="0" fontId="0" fillId="0" borderId="22" xfId="0" applyBorder="1" applyAlignment="1" applyProtection="1">
      <alignment horizontal="center"/>
      <protection hidden="1"/>
    </xf>
    <xf numFmtId="0" fontId="0" fillId="0" borderId="21" xfId="0" applyBorder="1" applyAlignment="1" applyProtection="1">
      <alignment horizontal="center"/>
      <protection hidden="1"/>
    </xf>
    <xf numFmtId="0" fontId="0" fillId="3" borderId="8" xfId="0" applyFill="1" applyBorder="1" applyAlignment="1">
      <alignment horizontal="center" vertical="center" wrapText="1"/>
    </xf>
    <xf numFmtId="0" fontId="0" fillId="3" borderId="9" xfId="0" applyFill="1" applyBorder="1" applyAlignment="1">
      <alignment horizontal="center" vertical="center"/>
    </xf>
    <xf numFmtId="0" fontId="0" fillId="3" borderId="10" xfId="0" applyFill="1" applyBorder="1" applyAlignment="1">
      <alignment horizontal="center" vertical="center"/>
    </xf>
    <xf numFmtId="0" fontId="0" fillId="3" borderId="7" xfId="0" applyFill="1" applyBorder="1" applyAlignment="1">
      <alignment horizontal="center" vertical="center"/>
    </xf>
    <xf numFmtId="0" fontId="0" fillId="3" borderId="0" xfId="0" applyFill="1" applyBorder="1" applyAlignment="1">
      <alignment horizontal="center" vertical="center"/>
    </xf>
    <xf numFmtId="0" fontId="0" fillId="3" borderId="13" xfId="0" applyFill="1" applyBorder="1" applyAlignment="1">
      <alignment horizontal="center" vertical="center"/>
    </xf>
    <xf numFmtId="0" fontId="0" fillId="3" borderId="11" xfId="0" applyFill="1" applyBorder="1" applyAlignment="1">
      <alignment horizontal="center" vertical="center"/>
    </xf>
    <xf numFmtId="0" fontId="0" fillId="3" borderId="12" xfId="0" applyFill="1" applyBorder="1" applyAlignment="1">
      <alignment horizontal="center" vertical="center"/>
    </xf>
    <xf numFmtId="0" fontId="0" fillId="3" borderId="4" xfId="0" applyFill="1" applyBorder="1" applyAlignment="1">
      <alignment horizontal="center" vertical="center"/>
    </xf>
    <xf numFmtId="0" fontId="0" fillId="3" borderId="8" xfId="0" applyFill="1" applyBorder="1" applyAlignment="1">
      <alignment horizontal="center" vertical="center"/>
    </xf>
  </cellXfs>
  <cellStyles count="4">
    <cellStyle name="Milliers" xfId="1" builtinId="3"/>
    <cellStyle name="Monétaire" xfId="2" builtinId="4"/>
    <cellStyle name="Normal" xfId="0" builtinId="0"/>
    <cellStyle name="Pourcentage" xfId="3" builtinId="5"/>
  </cellStyles>
  <dxfs count="55">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s>
  <tableStyles count="0" defaultTableStyle="TableStyleMedium2" defaultPivotStyle="PivotStyleLight16"/>
  <colors>
    <mruColors>
      <color rgb="FFFC4A2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3.xml.rels><?xml version="1.0" encoding="UTF-8" standalone="yes"?>
<Relationships xmlns="http://schemas.openxmlformats.org/package/2006/relationships"><Relationship Id="rId2" Type="http://schemas.openxmlformats.org/officeDocument/2006/relationships/image" Target="../media/image2.tmp"/><Relationship Id="rId1" Type="http://schemas.openxmlformats.org/officeDocument/2006/relationships/image" Target="../media/image1.tmp"/></Relationships>
</file>

<file path=xl/drawings/drawing1.xml><?xml version="1.0" encoding="utf-8"?>
<xdr:wsDr xmlns:xdr="http://schemas.openxmlformats.org/drawingml/2006/spreadsheetDrawing" xmlns:a="http://schemas.openxmlformats.org/drawingml/2006/main">
  <xdr:twoCellAnchor>
    <xdr:from>
      <xdr:col>0</xdr:col>
      <xdr:colOff>66676</xdr:colOff>
      <xdr:row>0</xdr:row>
      <xdr:rowOff>9524</xdr:rowOff>
    </xdr:from>
    <xdr:to>
      <xdr:col>11</xdr:col>
      <xdr:colOff>457200</xdr:colOff>
      <xdr:row>63</xdr:row>
      <xdr:rowOff>152400</xdr:rowOff>
    </xdr:to>
    <xdr:sp macro="" textlink="">
      <xdr:nvSpPr>
        <xdr:cNvPr id="3" name="ZoneTexte 2">
          <a:extLst>
            <a:ext uri="{FF2B5EF4-FFF2-40B4-BE49-F238E27FC236}">
              <a16:creationId xmlns:a16="http://schemas.microsoft.com/office/drawing/2014/main" xmlns="" id="{00000000-0008-0000-0000-000003000000}"/>
            </a:ext>
          </a:extLst>
        </xdr:cNvPr>
        <xdr:cNvSpPr txBox="1"/>
      </xdr:nvSpPr>
      <xdr:spPr>
        <a:xfrm>
          <a:off x="66676" y="9524"/>
          <a:ext cx="8772524" cy="1224915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fr-FR" sz="2000" b="1"/>
            <a:t>OUTIL DE SIMULATION </a:t>
          </a:r>
        </a:p>
        <a:p>
          <a:pPr algn="ctr"/>
          <a:r>
            <a:rPr lang="fr-FR" sz="2000" b="1"/>
            <a:t>FINANCEMENT DE PROJET EAU ou ASSAINISSEMENT</a:t>
          </a:r>
        </a:p>
        <a:p>
          <a:pPr algn="ctr"/>
          <a:r>
            <a:rPr lang="fr-FR" sz="2000" b="1"/>
            <a:t>Agence de l'eau - Caisse</a:t>
          </a:r>
          <a:r>
            <a:rPr lang="fr-FR" sz="2000" b="1" baseline="0"/>
            <a:t> des Dépôts</a:t>
          </a:r>
          <a:endParaRPr lang="fr-FR" sz="2000" b="1"/>
        </a:p>
        <a:p>
          <a:pPr algn="ctr"/>
          <a:r>
            <a:rPr lang="fr-FR" sz="2000" b="1"/>
            <a:t>Aide à la saisie </a:t>
          </a:r>
        </a:p>
        <a:p>
          <a:pPr algn="ctr"/>
          <a:endParaRPr lang="fr-FR" sz="1000" b="0"/>
        </a:p>
        <a:p>
          <a:pPr algn="l"/>
          <a:endParaRPr lang="fr-FR" sz="1000" b="0"/>
        </a:p>
        <a:p>
          <a:pPr algn="l"/>
          <a:r>
            <a:rPr lang="fr-FR" sz="1400" b="0" u="sng">
              <a:solidFill>
                <a:srgbClr val="FF0000"/>
              </a:solidFill>
            </a:rPr>
            <a:t>Attention:</a:t>
          </a:r>
        </a:p>
        <a:p>
          <a:pPr algn="l"/>
          <a:r>
            <a:rPr lang="fr-FR" sz="1400" b="0">
              <a:solidFill>
                <a:srgbClr val="FF0000"/>
              </a:solidFill>
            </a:rPr>
            <a:t>Cet outil est une aide à la décision de premier niveau. </a:t>
          </a:r>
        </a:p>
        <a:p>
          <a:pPr algn="l"/>
          <a:r>
            <a:rPr lang="fr-FR" sz="1400" b="1">
              <a:solidFill>
                <a:srgbClr val="FF0000"/>
              </a:solidFill>
            </a:rPr>
            <a:t>Les données obtenues par la simulation n'ont en aucun cas valeur d'engagement pour la Caisse des</a:t>
          </a:r>
          <a:r>
            <a:rPr lang="fr-FR" sz="1400" b="1" baseline="0">
              <a:solidFill>
                <a:srgbClr val="FF0000"/>
              </a:solidFill>
            </a:rPr>
            <a:t> Dépôts ou l'agence de l'eau Adour-Garonne.</a:t>
          </a:r>
        </a:p>
        <a:p>
          <a:pPr algn="l"/>
          <a:endParaRPr lang="fr-FR" sz="1400" b="1" baseline="0">
            <a:solidFill>
              <a:srgbClr val="FF0000"/>
            </a:solidFill>
          </a:endParaRPr>
        </a:p>
        <a:p>
          <a:pPr algn="l"/>
          <a:r>
            <a:rPr lang="fr-FR" sz="1100" b="1" i="1" baseline="0">
              <a:solidFill>
                <a:sysClr val="windowText" lastClr="000000"/>
              </a:solidFill>
            </a:rPr>
            <a:t>Seules les cases vertes sont à remplir à la main ou à l'aide d'un menu déroulant.</a:t>
          </a:r>
        </a:p>
        <a:p>
          <a:pPr algn="l"/>
          <a:r>
            <a:rPr lang="fr-FR" sz="1100" b="1" i="1" baseline="0">
              <a:solidFill>
                <a:sysClr val="windowText" lastClr="000000"/>
              </a:solidFill>
            </a:rPr>
            <a:t>Les cases bleues sont uniquement à consulter.</a:t>
          </a:r>
        </a:p>
        <a:p>
          <a:pPr algn="l"/>
          <a:endParaRPr lang="fr-FR" sz="1400" b="0" baseline="0">
            <a:solidFill>
              <a:srgbClr val="FF0000"/>
            </a:solidFill>
          </a:endParaRPr>
        </a:p>
        <a:p>
          <a:pPr algn="l"/>
          <a:endParaRPr lang="fr-FR" sz="1400" b="0" baseline="0">
            <a:solidFill>
              <a:srgbClr val="FF0000"/>
            </a:solidFill>
          </a:endParaRPr>
        </a:p>
        <a:p>
          <a:pPr marL="0" marR="0" indent="0" algn="l" defTabSz="914400" eaLnBrk="1" fontAlgn="auto" latinLnBrk="0" hangingPunct="1">
            <a:lnSpc>
              <a:spcPct val="100000"/>
            </a:lnSpc>
            <a:spcBef>
              <a:spcPts val="0"/>
            </a:spcBef>
            <a:spcAft>
              <a:spcPts val="0"/>
            </a:spcAft>
            <a:buClrTx/>
            <a:buSzTx/>
            <a:buFontTx/>
            <a:buNone/>
            <a:tabLst/>
            <a:defRPr/>
          </a:pPr>
          <a:r>
            <a:rPr lang="fr-FR" sz="1100" b="0" i="1" u="sng">
              <a:solidFill>
                <a:schemeClr val="dk1"/>
              </a:solidFill>
              <a:effectLst/>
              <a:latin typeface="+mn-lt"/>
              <a:ea typeface="+mn-ea"/>
              <a:cs typeface="+mn-cs"/>
            </a:rPr>
            <a:t>1ère</a:t>
          </a:r>
          <a:r>
            <a:rPr lang="fr-FR" sz="1100" b="0" i="1" u="sng" baseline="0">
              <a:solidFill>
                <a:schemeClr val="dk1"/>
              </a:solidFill>
              <a:effectLst/>
              <a:latin typeface="+mn-lt"/>
              <a:ea typeface="+mn-ea"/>
              <a:cs typeface="+mn-cs"/>
            </a:rPr>
            <a:t> étape : SAISIE</a:t>
          </a:r>
          <a:endParaRPr lang="fr-FR">
            <a:effectLst/>
          </a:endParaRPr>
        </a:p>
        <a:p>
          <a:pPr algn="l"/>
          <a:r>
            <a:rPr lang="fr-FR" sz="1100" b="0" baseline="0">
              <a:solidFill>
                <a:sysClr val="windowText" lastClr="000000"/>
              </a:solidFill>
            </a:rPr>
            <a:t>Veuillez vérifier que les cases  " Taux du livret  A" et "Taux BEI" en haut de la feuille "A remplir" sont correctement renseignées (en prennent en compte les éventuelles actualisations de taux). Les simulations sont effectuées sur la base de taux fixe.</a:t>
          </a:r>
        </a:p>
        <a:p>
          <a:pPr algn="l"/>
          <a:endParaRPr lang="fr-FR" sz="1100" b="0" i="1" u="sng">
            <a:solidFill>
              <a:sysClr val="windowText" lastClr="000000"/>
            </a:solidFill>
          </a:endParaRPr>
        </a:p>
        <a:p>
          <a:pPr algn="l"/>
          <a:endParaRPr lang="fr-FR" sz="1100" b="0" i="1" u="sng">
            <a:solidFill>
              <a:sysClr val="windowText" lastClr="000000"/>
            </a:solidFill>
          </a:endParaRPr>
        </a:p>
        <a:p>
          <a:pPr algn="l"/>
          <a:r>
            <a:rPr lang="fr-FR" sz="1100" b="0" i="1" u="sng">
              <a:solidFill>
                <a:sysClr val="windowText" lastClr="000000"/>
              </a:solidFill>
            </a:rPr>
            <a:t>2ème</a:t>
          </a:r>
          <a:r>
            <a:rPr lang="fr-FR" sz="1100" b="0" i="1" u="sng" baseline="0">
              <a:solidFill>
                <a:sysClr val="windowText" lastClr="000000"/>
              </a:solidFill>
            </a:rPr>
            <a:t> étape:  SAISIE</a:t>
          </a:r>
        </a:p>
        <a:p>
          <a:pPr algn="l"/>
          <a:r>
            <a:rPr lang="fr-FR" sz="1100" b="0">
              <a:solidFill>
                <a:sysClr val="windowText" lastClr="000000"/>
              </a:solidFill>
            </a:rPr>
            <a:t>Dans la feuille "A remplir", veuillez renseigner les</a:t>
          </a:r>
          <a:r>
            <a:rPr lang="fr-FR" sz="1100" b="0" baseline="0">
              <a:solidFill>
                <a:sysClr val="windowText" lastClr="000000"/>
              </a:solidFill>
            </a:rPr>
            <a:t> </a:t>
          </a:r>
          <a:r>
            <a:rPr lang="fr-FR" sz="1100" b="0">
              <a:solidFill>
                <a:sysClr val="windowText" lastClr="000000"/>
              </a:solidFill>
            </a:rPr>
            <a:t>données demandées concernant les 4 thèmes suivants :</a:t>
          </a:r>
        </a:p>
        <a:p>
          <a:pPr algn="l"/>
          <a:endParaRPr lang="fr-FR" sz="1100" b="0">
            <a:solidFill>
              <a:sysClr val="windowText" lastClr="000000"/>
            </a:solidFill>
          </a:endParaRPr>
        </a:p>
        <a:p>
          <a:pPr algn="l"/>
          <a:r>
            <a:rPr lang="fr-FR" sz="1100" b="1" i="1" u="none">
              <a:solidFill>
                <a:sysClr val="windowText" lastClr="000000"/>
              </a:solidFill>
            </a:rPr>
            <a:t>Données financières prévisionnelles sur les projets :</a:t>
          </a:r>
        </a:p>
        <a:p>
          <a:pPr algn="l"/>
          <a:r>
            <a:rPr lang="fr-FR" sz="1100" b="0">
              <a:solidFill>
                <a:sysClr val="windowText" lastClr="000000"/>
              </a:solidFill>
            </a:rPr>
            <a:t>   1-     la </a:t>
          </a:r>
          <a:r>
            <a:rPr lang="fr-FR" sz="1100" b="1" u="sng">
              <a:solidFill>
                <a:schemeClr val="accent6">
                  <a:lumMod val="75000"/>
                </a:schemeClr>
              </a:solidFill>
            </a:rPr>
            <a:t>définition du projet</a:t>
          </a:r>
          <a:r>
            <a:rPr lang="fr-FR" sz="1100" b="1" u="none">
              <a:solidFill>
                <a:sysClr val="windowText" lastClr="000000"/>
              </a:solidFill>
            </a:rPr>
            <a:t>, </a:t>
          </a:r>
          <a:r>
            <a:rPr lang="fr-FR" sz="1100" b="0" u="none">
              <a:solidFill>
                <a:sysClr val="windowText" lastClr="000000"/>
              </a:solidFill>
            </a:rPr>
            <a:t>sans oublier d'actualiser</a:t>
          </a:r>
          <a:r>
            <a:rPr lang="fr-FR" sz="1100" b="0" u="none" baseline="0">
              <a:solidFill>
                <a:sysClr val="windowText" lastClr="000000"/>
              </a:solidFill>
            </a:rPr>
            <a:t> </a:t>
          </a:r>
          <a:r>
            <a:rPr lang="fr-FR" sz="1100" b="0" u="none">
              <a:solidFill>
                <a:sysClr val="windowText" lastClr="000000"/>
              </a:solidFill>
            </a:rPr>
            <a:t>le taux du</a:t>
          </a:r>
          <a:r>
            <a:rPr lang="fr-FR" sz="1100" b="0" u="none" baseline="0">
              <a:solidFill>
                <a:sysClr val="windowText" lastClr="000000"/>
              </a:solidFill>
            </a:rPr>
            <a:t> livret A (le taux renseigné est l'actuel taux en vigueur : 0,75%).</a:t>
          </a:r>
        </a:p>
        <a:p>
          <a:pPr algn="l"/>
          <a:r>
            <a:rPr lang="fr-FR" sz="1100" b="0" u="none" baseline="0">
              <a:solidFill>
                <a:sysClr val="windowText" lastClr="000000"/>
              </a:solidFill>
            </a:rPr>
            <a:t>   2-     le </a:t>
          </a:r>
          <a:r>
            <a:rPr lang="fr-FR" sz="1100" b="1" u="sng" baseline="0">
              <a:solidFill>
                <a:schemeClr val="accent6">
                  <a:lumMod val="75000"/>
                </a:schemeClr>
              </a:solidFill>
            </a:rPr>
            <a:t>coût des travaux prévu </a:t>
          </a:r>
          <a:r>
            <a:rPr lang="fr-FR" sz="1100" b="0" u="none" baseline="0">
              <a:solidFill>
                <a:sysClr val="windowText" lastClr="000000"/>
              </a:solidFill>
            </a:rPr>
            <a:t>et son détail (attention l'assiette des subventions et avances de l'AEAG ne porte </a:t>
          </a:r>
          <a:r>
            <a:rPr lang="fr-FR" sz="1100" b="0" u="sng" baseline="0">
              <a:solidFill>
                <a:sysClr val="windowText" lastClr="000000"/>
              </a:solidFill>
            </a:rPr>
            <a:t>que </a:t>
          </a:r>
          <a:r>
            <a:rPr lang="fr-FR" sz="1100" b="0" u="none" baseline="0">
              <a:solidFill>
                <a:sysClr val="windowText" lastClr="000000"/>
              </a:solidFill>
            </a:rPr>
            <a:t>sur le montant "construction/travaux"; le montant élégible pourles prêts CDC est en revanche le montant total des travaux du projet)</a:t>
          </a:r>
        </a:p>
        <a:p>
          <a:pPr algn="l"/>
          <a:endParaRPr lang="fr-FR" sz="1100" b="1" i="1" u="none" baseline="0">
            <a:solidFill>
              <a:srgbClr val="FF0000"/>
            </a:solidFill>
          </a:endParaRPr>
        </a:p>
        <a:p>
          <a:pPr algn="l"/>
          <a:r>
            <a:rPr lang="fr-FR" sz="1100" b="1" i="1" u="none" baseline="0">
              <a:solidFill>
                <a:sysClr val="windowText" lastClr="000000"/>
              </a:solidFill>
            </a:rPr>
            <a:t>Données financières de la collectivité :</a:t>
          </a:r>
        </a:p>
        <a:p>
          <a:pPr algn="l"/>
          <a:r>
            <a:rPr lang="fr-FR" sz="1100" b="0" u="none" baseline="0">
              <a:solidFill>
                <a:sysClr val="windowText" lastClr="000000"/>
              </a:solidFill>
            </a:rPr>
            <a:t>   3-     le</a:t>
          </a:r>
          <a:r>
            <a:rPr lang="fr-FR" sz="1100" b="1" u="none" baseline="0">
              <a:solidFill>
                <a:sysClr val="windowText" lastClr="000000"/>
              </a:solidFill>
            </a:rPr>
            <a:t> </a:t>
          </a:r>
          <a:r>
            <a:rPr lang="fr-FR" sz="1100" b="1" u="sng" baseline="0">
              <a:solidFill>
                <a:schemeClr val="accent6">
                  <a:lumMod val="75000"/>
                </a:schemeClr>
              </a:solidFill>
            </a:rPr>
            <a:t>budget principal </a:t>
          </a:r>
          <a:r>
            <a:rPr lang="fr-FR" sz="1100" b="0" u="none" baseline="0">
              <a:solidFill>
                <a:sysClr val="windowText" lastClr="000000"/>
              </a:solidFill>
            </a:rPr>
            <a:t>(uniquement pour les communes de moins de 3.000 habitants) et le</a:t>
          </a:r>
          <a:r>
            <a:rPr lang="fr-FR" sz="1100" b="1" u="none" baseline="0">
              <a:solidFill>
                <a:sysClr val="windowText" lastClr="000000"/>
              </a:solidFill>
            </a:rPr>
            <a:t> </a:t>
          </a:r>
          <a:r>
            <a:rPr lang="fr-FR" sz="1100" b="1" u="sng" baseline="0">
              <a:solidFill>
                <a:schemeClr val="accent6">
                  <a:lumMod val="75000"/>
                </a:schemeClr>
              </a:solidFill>
            </a:rPr>
            <a:t>budget annexe  </a:t>
          </a:r>
          <a:r>
            <a:rPr lang="fr-FR" sz="1100" b="1" u="none" baseline="0">
              <a:solidFill>
                <a:schemeClr val="accent6">
                  <a:lumMod val="75000"/>
                </a:schemeClr>
              </a:solidFill>
            </a:rPr>
            <a:t> </a:t>
          </a:r>
        </a:p>
        <a:p>
          <a:pPr algn="l"/>
          <a:r>
            <a:rPr lang="fr-FR" sz="1100" b="0" u="none" baseline="0">
              <a:solidFill>
                <a:sysClr val="windowText" lastClr="000000"/>
              </a:solidFill>
            </a:rPr>
            <a:t>          (</a:t>
          </a:r>
          <a:r>
            <a:rPr lang="fr-FR" sz="1100" b="0" i="1" u="none" baseline="0">
              <a:solidFill>
                <a:sysClr val="windowText" lastClr="000000"/>
              </a:solidFill>
            </a:rPr>
            <a:t>en cas de difficultés pour remplir les cases, les définitions précises de l'épargne brute et de l'épargne nette sont disponibles dans la feuille "Annexe")</a:t>
          </a:r>
        </a:p>
        <a:p>
          <a:pPr algn="l"/>
          <a:r>
            <a:rPr lang="fr-FR" sz="1100" b="0" u="none" baseline="0">
              <a:solidFill>
                <a:sysClr val="windowText" lastClr="000000"/>
              </a:solidFill>
            </a:rPr>
            <a:t>   4-     </a:t>
          </a:r>
          <a:r>
            <a:rPr lang="fr-FR" sz="1100" b="0" u="none" baseline="0">
              <a:solidFill>
                <a:schemeClr val="dk1"/>
              </a:solidFill>
              <a:effectLst/>
              <a:latin typeface="+mn-lt"/>
              <a:ea typeface="+mn-ea"/>
              <a:cs typeface="+mn-cs"/>
            </a:rPr>
            <a:t>autre </a:t>
          </a:r>
          <a:r>
            <a:rPr lang="fr-FR" sz="1100" b="0" baseline="0">
              <a:solidFill>
                <a:schemeClr val="dk1"/>
              </a:solidFill>
              <a:effectLst/>
              <a:latin typeface="+mn-lt"/>
              <a:ea typeface="+mn-ea"/>
              <a:cs typeface="+mn-cs"/>
            </a:rPr>
            <a:t>prêt contracté auprès d'un autre organisme bancaire ou  subventionsobtenues autres que celle de l'agence de l'eau pour </a:t>
          </a:r>
          <a:r>
            <a:rPr lang="fr-FR" sz="1100" b="0" u="none" baseline="0">
              <a:solidFill>
                <a:sysClr val="windowText" lastClr="000000"/>
              </a:solidFill>
              <a:effectLst/>
              <a:latin typeface="+mn-lt"/>
              <a:ea typeface="+mn-ea"/>
              <a:cs typeface="+mn-cs"/>
            </a:rPr>
            <a:t>l'</a:t>
          </a:r>
          <a:r>
            <a:rPr lang="fr-FR" sz="1100" b="0" u="none" baseline="0">
              <a:solidFill>
                <a:sysClr val="windowText" lastClr="000000"/>
              </a:solidFill>
            </a:rPr>
            <a:t>opération concernée, le cas échéant, </a:t>
          </a:r>
          <a:r>
            <a:rPr lang="fr-FR" sz="1100" b="1" u="sng" baseline="0">
              <a:solidFill>
                <a:schemeClr val="accent6">
                  <a:lumMod val="75000"/>
                </a:schemeClr>
              </a:solidFill>
            </a:rPr>
            <a:t>éventuellement pour ce projet</a:t>
          </a:r>
          <a:r>
            <a:rPr lang="fr-FR" sz="1100" b="0" u="none" baseline="0">
              <a:solidFill>
                <a:sysClr val="windowText" lastClr="000000"/>
              </a:solidFill>
            </a:rPr>
            <a:t>.</a:t>
          </a:r>
        </a:p>
        <a:p>
          <a:pPr algn="l"/>
          <a:endParaRPr lang="fr-FR" sz="1100" b="0" u="none" baseline="0">
            <a:solidFill>
              <a:sysClr val="windowText" lastClr="000000"/>
            </a:solidFill>
          </a:endParaRPr>
        </a:p>
        <a:p>
          <a:pPr algn="l"/>
          <a:endParaRPr lang="fr-FR" sz="1100" b="0" u="none" baseline="0">
            <a:solidFill>
              <a:sysClr val="windowText" lastClr="000000"/>
            </a:solidFill>
          </a:endParaRPr>
        </a:p>
        <a:p>
          <a:pPr algn="l"/>
          <a:r>
            <a:rPr lang="fr-FR" sz="1100" b="0" u="sng" baseline="0">
              <a:solidFill>
                <a:sysClr val="windowText" lastClr="000000"/>
              </a:solidFill>
            </a:rPr>
            <a:t>3ème étape: CONSULTATION</a:t>
          </a:r>
        </a:p>
        <a:p>
          <a:pPr algn="l"/>
          <a:r>
            <a:rPr lang="fr-FR" sz="1100" b="0" u="none" baseline="0">
              <a:solidFill>
                <a:sysClr val="windowText" lastClr="000000"/>
              </a:solidFill>
            </a:rPr>
            <a:t>Vérifiez </a:t>
          </a:r>
          <a:r>
            <a:rPr lang="fr-FR" sz="1100" b="1" u="sng" baseline="0">
              <a:solidFill>
                <a:schemeClr val="accent6">
                  <a:lumMod val="75000"/>
                </a:schemeClr>
              </a:solidFill>
            </a:rPr>
            <a:t>l'éligibilité a priori </a:t>
          </a:r>
          <a:r>
            <a:rPr lang="fr-FR" sz="1100" b="0" u="none" baseline="0">
              <a:solidFill>
                <a:sysClr val="windowText" lastClr="000000"/>
              </a:solidFill>
            </a:rPr>
            <a:t>du projet au finacement de l'agence de l'eau et de la CDC.</a:t>
          </a:r>
        </a:p>
        <a:p>
          <a:pPr algn="l"/>
          <a:endParaRPr lang="fr-FR" sz="1100" b="0" u="none" baseline="0">
            <a:solidFill>
              <a:sysClr val="windowText" lastClr="000000"/>
            </a:solidFill>
          </a:endParaRPr>
        </a:p>
        <a:p>
          <a:pPr algn="l"/>
          <a:endParaRPr lang="fr-FR" sz="1100" b="0" u="none" baseline="0">
            <a:solidFill>
              <a:sysClr val="windowText" lastClr="000000"/>
            </a:solidFill>
          </a:endParaRPr>
        </a:p>
        <a:p>
          <a:pPr algn="l"/>
          <a:r>
            <a:rPr lang="fr-FR" sz="1100" b="0" u="sng" baseline="0">
              <a:solidFill>
                <a:sysClr val="windowText" lastClr="000000"/>
              </a:solidFill>
            </a:rPr>
            <a:t>4ème étape: CONSULTATION</a:t>
          </a:r>
        </a:p>
        <a:p>
          <a:pPr algn="l"/>
          <a:r>
            <a:rPr lang="fr-FR" sz="1100" b="0" u="none" baseline="0">
              <a:solidFill>
                <a:sysClr val="windowText" lastClr="000000"/>
              </a:solidFill>
            </a:rPr>
            <a:t>Consultez les </a:t>
          </a:r>
          <a:r>
            <a:rPr lang="fr-FR" sz="1100" b="1" u="sng" baseline="0">
              <a:solidFill>
                <a:schemeClr val="accent6">
                  <a:lumMod val="75000"/>
                </a:schemeClr>
              </a:solidFill>
            </a:rPr>
            <a:t>subventions ou avances remboursables </a:t>
          </a:r>
          <a:r>
            <a:rPr lang="fr-FR" sz="1100" b="0" u="none" baseline="0">
              <a:solidFill>
                <a:sysClr val="windowText" lastClr="000000"/>
              </a:solidFill>
            </a:rPr>
            <a:t>proposées par l'AEAG pour votre projet.</a:t>
          </a:r>
        </a:p>
        <a:p>
          <a:pPr algn="l"/>
          <a:endParaRPr lang="fr-FR" sz="1100" b="0" u="none" baseline="0">
            <a:solidFill>
              <a:sysClr val="windowText" lastClr="000000"/>
            </a:solidFill>
          </a:endParaRPr>
        </a:p>
        <a:p>
          <a:pPr algn="l"/>
          <a:endParaRPr lang="fr-FR" sz="1100" b="0" u="none" baseline="0">
            <a:solidFill>
              <a:sysClr val="windowText" lastClr="000000"/>
            </a:solidFill>
          </a:endParaRPr>
        </a:p>
        <a:p>
          <a:pPr algn="l"/>
          <a:r>
            <a:rPr lang="fr-FR" sz="1100" b="0" u="sng" baseline="0">
              <a:solidFill>
                <a:sysClr val="windowText" lastClr="000000"/>
              </a:solidFill>
            </a:rPr>
            <a:t>5ème étape: SAISIE</a:t>
          </a:r>
        </a:p>
        <a:p>
          <a:pPr algn="l"/>
          <a:r>
            <a:rPr lang="fr-FR" sz="1100" b="0" u="none" baseline="0">
              <a:solidFill>
                <a:sysClr val="windowText" lastClr="000000"/>
              </a:solidFill>
            </a:rPr>
            <a:t>Indiquez le type de prêt sollicité auprès de la Caisse des Dépôts, le montant (la CDC peut financer en prêt 100% du besoin du reste à financer) et la durée souhaitée.</a:t>
          </a:r>
        </a:p>
        <a:p>
          <a:pPr algn="l"/>
          <a:endParaRPr lang="fr-FR" sz="1100" b="0" u="none" baseline="0">
            <a:solidFill>
              <a:sysClr val="windowText" lastClr="000000"/>
            </a:solidFill>
          </a:endParaRPr>
        </a:p>
        <a:p>
          <a:pPr algn="l"/>
          <a:endParaRPr lang="fr-FR" sz="1100" b="0" u="none" baseline="0">
            <a:solidFill>
              <a:sysClr val="windowText" lastClr="000000"/>
            </a:solidFill>
          </a:endParaRPr>
        </a:p>
        <a:p>
          <a:pPr algn="l"/>
          <a:r>
            <a:rPr lang="fr-FR" sz="1100" b="0" u="sng" baseline="0">
              <a:solidFill>
                <a:sysClr val="windowText" lastClr="000000"/>
              </a:solidFill>
            </a:rPr>
            <a:t>6ème étape: CONSULTATION DE LA SYNTHESE</a:t>
          </a:r>
        </a:p>
        <a:p>
          <a:pPr algn="l"/>
          <a:r>
            <a:rPr lang="fr-FR" sz="1100" b="0" u="none" baseline="0">
              <a:solidFill>
                <a:sysClr val="windowText" lastClr="000000"/>
              </a:solidFill>
            </a:rPr>
            <a:t>Dans la feuille "Résultat", vous trouverez /</a:t>
          </a:r>
        </a:p>
        <a:p>
          <a:pPr algn="l"/>
          <a:r>
            <a:rPr lang="fr-FR" sz="1100" b="0" u="none" baseline="0">
              <a:solidFill>
                <a:sysClr val="windowText" lastClr="000000"/>
              </a:solidFill>
            </a:rPr>
            <a:t> - une analyse financière succinte de votre projet d'investissement avec un indicateur de cotatin du projet (</a:t>
          </a:r>
          <a:r>
            <a:rPr lang="fr-FR" sz="1100" b="0" u="none" baseline="0">
              <a:solidFill>
                <a:srgbClr val="00B050"/>
              </a:solidFill>
            </a:rPr>
            <a:t>VERT = projet opportun</a:t>
          </a:r>
          <a:r>
            <a:rPr lang="fr-FR" sz="1100" b="0" u="none" baseline="0">
              <a:solidFill>
                <a:sysClr val="windowText" lastClr="000000"/>
              </a:solidFill>
            </a:rPr>
            <a:t>, </a:t>
          </a:r>
          <a:r>
            <a:rPr lang="fr-FR" sz="1100" b="0" u="none" baseline="0">
              <a:solidFill>
                <a:srgbClr val="FFC000"/>
              </a:solidFill>
            </a:rPr>
            <a:t>JAUNE = vigilance</a:t>
          </a:r>
          <a:r>
            <a:rPr lang="fr-FR" sz="1100" b="0" u="none" baseline="0">
              <a:solidFill>
                <a:sysClr val="windowText" lastClr="000000"/>
              </a:solidFill>
            </a:rPr>
            <a:t>, </a:t>
          </a:r>
          <a:r>
            <a:rPr lang="fr-FR" sz="1100" b="0" u="none" baseline="0">
              <a:solidFill>
                <a:srgbClr val="FF0000"/>
              </a:solidFill>
            </a:rPr>
            <a:t>ROUGE = difficulté </a:t>
          </a:r>
          <a:r>
            <a:rPr lang="fr-FR" sz="1100" b="0" u="none" baseline="0">
              <a:solidFill>
                <a:sysClr val="windowText" lastClr="000000"/>
              </a:solidFill>
            </a:rPr>
            <a:t>nécessitant de revoir le projet ou de prendre contact avec un conseiller CDC ou agence de l'eau), </a:t>
          </a:r>
        </a:p>
        <a:p>
          <a:pPr algn="l"/>
          <a:r>
            <a:rPr lang="fr-FR" sz="1100" b="0" u="none" baseline="0">
              <a:solidFill>
                <a:sysClr val="windowText" lastClr="000000"/>
              </a:solidFill>
            </a:rPr>
            <a:t> - ainsi que des </a:t>
          </a:r>
          <a:r>
            <a:rPr lang="fr-FR" sz="1100" b="0" baseline="0">
              <a:solidFill>
                <a:schemeClr val="dk1"/>
              </a:solidFill>
              <a:effectLst/>
              <a:latin typeface="+mn-lt"/>
              <a:ea typeface="+mn-ea"/>
              <a:cs typeface="+mn-cs"/>
            </a:rPr>
            <a:t>propositions</a:t>
          </a:r>
          <a:r>
            <a:rPr lang="fr-FR" sz="1100" b="0" u="none" baseline="0">
              <a:solidFill>
                <a:sysClr val="windowText" lastClr="000000"/>
              </a:solidFill>
            </a:rPr>
            <a:t> de plan d'amortissement</a:t>
          </a:r>
          <a:r>
            <a:rPr lang="fr-FR" sz="1100" b="0" baseline="0">
              <a:solidFill>
                <a:schemeClr val="dk1"/>
              </a:solidFill>
              <a:effectLst/>
              <a:latin typeface="+mn-lt"/>
              <a:ea typeface="+mn-ea"/>
              <a:cs typeface="+mn-cs"/>
            </a:rPr>
            <a:t> (</a:t>
          </a:r>
          <a:r>
            <a:rPr lang="fr-FR" sz="1100" b="1" u="sng" baseline="0">
              <a:solidFill>
                <a:schemeClr val="dk1"/>
              </a:solidFill>
              <a:effectLst/>
              <a:latin typeface="+mn-lt"/>
              <a:ea typeface="+mn-ea"/>
              <a:cs typeface="+mn-cs"/>
            </a:rPr>
            <a:t>non engageantes pour la CDC et l'AEAG</a:t>
          </a:r>
          <a:r>
            <a:rPr lang="fr-FR" sz="1100" b="0" baseline="0">
              <a:solidFill>
                <a:schemeClr val="dk1"/>
              </a:solidFill>
              <a:effectLst/>
              <a:latin typeface="+mn-lt"/>
              <a:ea typeface="+mn-ea"/>
              <a:cs typeface="+mn-cs"/>
            </a:rPr>
            <a:t>) </a:t>
          </a:r>
          <a:r>
            <a:rPr lang="fr-FR" sz="1100" b="0" u="none" baseline="0">
              <a:solidFill>
                <a:sysClr val="windowText" lastClr="000000"/>
              </a:solidFill>
            </a:rPr>
            <a:t>. </a:t>
          </a:r>
        </a:p>
        <a:p>
          <a:pPr algn="l"/>
          <a:endParaRPr lang="fr-FR" sz="1100" b="0" u="none" baseline="0">
            <a:solidFill>
              <a:sysClr val="windowText" lastClr="000000"/>
            </a:solidFill>
          </a:endParaRPr>
        </a:p>
        <a:p>
          <a:pPr algn="l"/>
          <a:r>
            <a:rPr lang="fr-FR" sz="1100" b="0" u="none" baseline="0">
              <a:solidFill>
                <a:sysClr val="windowText" lastClr="000000"/>
              </a:solidFill>
            </a:rPr>
            <a:t>A l'aide des indicateurs de couleur (</a:t>
          </a:r>
          <a:r>
            <a:rPr lang="fr-FR" sz="1100" b="0" u="none" baseline="0">
              <a:solidFill>
                <a:srgbClr val="00B050"/>
              </a:solidFill>
            </a:rPr>
            <a:t>vert</a:t>
          </a:r>
          <a:r>
            <a:rPr lang="fr-FR" sz="1100" b="0" u="none" baseline="0">
              <a:solidFill>
                <a:sysClr val="windowText" lastClr="000000"/>
              </a:solidFill>
            </a:rPr>
            <a:t>, </a:t>
          </a:r>
          <a:r>
            <a:rPr lang="fr-FR" sz="1100" b="0" u="none" baseline="0">
              <a:solidFill>
                <a:srgbClr val="FFC000"/>
              </a:solidFill>
            </a:rPr>
            <a:t>jaune</a:t>
          </a:r>
          <a:r>
            <a:rPr lang="fr-FR" sz="1100" b="0" u="none" baseline="0">
              <a:solidFill>
                <a:sysClr val="windowText" lastClr="000000"/>
              </a:solidFill>
            </a:rPr>
            <a:t> ou </a:t>
          </a:r>
          <a:r>
            <a:rPr lang="fr-FR" sz="1100" b="0" u="none" baseline="0">
              <a:solidFill>
                <a:srgbClr val="FF0000"/>
              </a:solidFill>
            </a:rPr>
            <a:t>rouge</a:t>
          </a:r>
          <a:r>
            <a:rPr lang="fr-FR" sz="1100" b="0" u="none" baseline="0">
              <a:solidFill>
                <a:sysClr val="windowText" lastClr="000000"/>
              </a:solidFill>
            </a:rPr>
            <a:t>), vous pouvez ensuite affiner votre projet.</a:t>
          </a:r>
        </a:p>
        <a:p>
          <a:pPr algn="l"/>
          <a:endParaRPr lang="fr-FR" sz="1100" b="0" u="none" baseline="0">
            <a:solidFill>
              <a:sysClr val="windowText" lastClr="000000"/>
            </a:solidFill>
          </a:endParaRPr>
        </a:p>
        <a:p>
          <a:pPr algn="l"/>
          <a:r>
            <a:rPr lang="fr-FR" sz="1100" b="0" u="none" baseline="0">
              <a:solidFill>
                <a:sysClr val="windowText" lastClr="000000"/>
              </a:solidFill>
            </a:rPr>
            <a:t>Pour toute question ou demande de précision, prenez contact avec votre chargé de développement territorial de la Caisse des dépôts.</a:t>
          </a:r>
        </a:p>
        <a:p>
          <a:pPr algn="l"/>
          <a:endParaRPr lang="fr-FR" sz="1100" b="0" u="none" baseline="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9525</xdr:colOff>
      <xdr:row>28</xdr:row>
      <xdr:rowOff>171450</xdr:rowOff>
    </xdr:from>
    <xdr:to>
      <xdr:col>5</xdr:col>
      <xdr:colOff>28575</xdr:colOff>
      <xdr:row>35</xdr:row>
      <xdr:rowOff>57150</xdr:rowOff>
    </xdr:to>
    <xdr:sp macro="" textlink="">
      <xdr:nvSpPr>
        <xdr:cNvPr id="2" name="ZoneTexte 1"/>
        <xdr:cNvSpPr txBox="1"/>
      </xdr:nvSpPr>
      <xdr:spPr>
        <a:xfrm>
          <a:off x="771525" y="5981700"/>
          <a:ext cx="6562725" cy="1219200"/>
        </a:xfrm>
        <a:prstGeom prst="rect">
          <a:avLst/>
        </a:prstGeom>
        <a:solidFill>
          <a:schemeClr val="tx2">
            <a:lumMod val="20000"/>
            <a:lumOff val="80000"/>
          </a:schemeClr>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100" b="1" u="sng"/>
            <a:t>Information:</a:t>
          </a:r>
        </a:p>
        <a:p>
          <a:endParaRPr lang="fr-FR" sz="1100" b="1"/>
        </a:p>
        <a:p>
          <a:r>
            <a:rPr lang="fr-FR" sz="1100" b="1"/>
            <a:t>Le montant de la dette par habitant apporte un éclairage sur le dimensionnement du projet par rapport à la taille de la commune.</a:t>
          </a:r>
        </a:p>
        <a:p>
          <a:r>
            <a:rPr lang="fr-FR" sz="1100" b="1"/>
            <a:t>La</a:t>
          </a:r>
          <a:r>
            <a:rPr lang="fr-FR" sz="1100" b="1" baseline="0"/>
            <a:t> capacité de désendettement (CAPDES), </a:t>
          </a:r>
          <a:r>
            <a:rPr lang="fr-FR" sz="1100" b="1" u="sng" baseline="0"/>
            <a:t>définie sur la feuille Annexe</a:t>
          </a:r>
          <a:r>
            <a:rPr lang="fr-FR" sz="1100" b="1" baseline="0"/>
            <a:t>, apporte un éclairage sur  la soutenabilité financière du projet d'eau par la collectivité locale.</a:t>
          </a:r>
          <a:endParaRPr lang="fr-FR" sz="1100" b="1"/>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7</xdr:col>
      <xdr:colOff>323849</xdr:colOff>
      <xdr:row>4</xdr:row>
      <xdr:rowOff>19050</xdr:rowOff>
    </xdr:from>
    <xdr:ext cx="5781676" cy="1143000"/>
    <xdr:sp macro="" textlink="">
      <xdr:nvSpPr>
        <xdr:cNvPr id="2" name="ZoneTexte 1">
          <a:extLst>
            <a:ext uri="{FF2B5EF4-FFF2-40B4-BE49-F238E27FC236}">
              <a16:creationId xmlns:a16="http://schemas.microsoft.com/office/drawing/2014/main" xmlns="" id="{00000000-0008-0000-0300-000002000000}"/>
            </a:ext>
          </a:extLst>
        </xdr:cNvPr>
        <xdr:cNvSpPr txBox="1"/>
      </xdr:nvSpPr>
      <xdr:spPr>
        <a:xfrm>
          <a:off x="5657849" y="790575"/>
          <a:ext cx="5781676" cy="1143000"/>
        </a:xfrm>
        <a:prstGeom prst="rect">
          <a:avLst/>
        </a:prstGeom>
        <a:solidFill>
          <a:schemeClr val="bg1">
            <a:lumMod val="85000"/>
          </a:schemeClr>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marR="0" indent="0" defTabSz="914400" eaLnBrk="1" fontAlgn="auto" latinLnBrk="0" hangingPunct="1">
            <a:lnSpc>
              <a:spcPct val="100000"/>
            </a:lnSpc>
            <a:spcBef>
              <a:spcPts val="0"/>
            </a:spcBef>
            <a:spcAft>
              <a:spcPts val="0"/>
            </a:spcAft>
            <a:buClrTx/>
            <a:buSzTx/>
            <a:buFontTx/>
            <a:buNone/>
            <a:tabLst/>
            <a:defRPr/>
          </a:pPr>
          <a:r>
            <a:rPr lang="fr-FR" sz="1100" b="1">
              <a:solidFill>
                <a:schemeClr val="tx1"/>
              </a:solidFill>
              <a:effectLst/>
              <a:latin typeface="+mn-lt"/>
              <a:ea typeface="+mn-ea"/>
              <a:cs typeface="+mn-cs"/>
            </a:rPr>
            <a:t>L’épargne brute correspond à l’excédent des recettes réelles de fonctionnement sur les dépenses réelles de fonctionnement hors travaux en régie i.e. épargne de gestion – charges d’intérêts. </a:t>
          </a:r>
        </a:p>
        <a:p>
          <a:pPr marL="0" marR="0" indent="0" defTabSz="914400" eaLnBrk="1" fontAlgn="auto" latinLnBrk="0" hangingPunct="1">
            <a:lnSpc>
              <a:spcPct val="100000"/>
            </a:lnSpc>
            <a:spcBef>
              <a:spcPts val="0"/>
            </a:spcBef>
            <a:spcAft>
              <a:spcPts val="0"/>
            </a:spcAft>
            <a:buClrTx/>
            <a:buSzTx/>
            <a:buFontTx/>
            <a:buNone/>
            <a:tabLst/>
            <a:defRPr/>
          </a:pPr>
          <a:r>
            <a:rPr lang="fr-FR" sz="1100" b="1">
              <a:solidFill>
                <a:schemeClr val="tx1"/>
              </a:solidFill>
              <a:effectLst/>
              <a:latin typeface="+mn-lt"/>
              <a:ea typeface="+mn-ea"/>
              <a:cs typeface="+mn-cs"/>
            </a:rPr>
            <a:t>Appelée aussi “autofinancement brut”, elle est affectée à la couverture d'une partie des dépenses d'investissement (en priorité, le remboursement de la dette, et pour le surplus, les dépenses d’équipement).</a:t>
          </a:r>
          <a:endParaRPr lang="fr-FR" sz="1100">
            <a:solidFill>
              <a:schemeClr val="tx1"/>
            </a:solidFill>
            <a:effectLst/>
            <a:latin typeface="+mn-lt"/>
            <a:ea typeface="+mn-ea"/>
            <a:cs typeface="+mn-cs"/>
          </a:endParaRPr>
        </a:p>
        <a:p>
          <a:endParaRPr lang="fr-FR" sz="1100"/>
        </a:p>
      </xdr:txBody>
    </xdr:sp>
    <xdr:clientData/>
  </xdr:oneCellAnchor>
  <xdr:twoCellAnchor editAs="oneCell">
    <xdr:from>
      <xdr:col>1</xdr:col>
      <xdr:colOff>9524</xdr:colOff>
      <xdr:row>23</xdr:row>
      <xdr:rowOff>19049</xdr:rowOff>
    </xdr:from>
    <xdr:to>
      <xdr:col>6</xdr:col>
      <xdr:colOff>742949</xdr:colOff>
      <xdr:row>36</xdr:row>
      <xdr:rowOff>180974</xdr:rowOff>
    </xdr:to>
    <xdr:pic>
      <xdr:nvPicPr>
        <xdr:cNvPr id="9" name="Image 8">
          <a:extLst>
            <a:ext uri="{FF2B5EF4-FFF2-40B4-BE49-F238E27FC236}">
              <a16:creationId xmlns:a16="http://schemas.microsoft.com/office/drawing/2014/main" xmlns="" id="{00000000-0008-0000-0300-000009000000}"/>
            </a:ext>
          </a:extLst>
        </xdr:cNvPr>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23913" t="22245" r="26398" b="45551"/>
        <a:stretch/>
      </xdr:blipFill>
      <xdr:spPr bwMode="auto">
        <a:xfrm>
          <a:off x="771524" y="5372099"/>
          <a:ext cx="4543425" cy="2638425"/>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9525</xdr:colOff>
      <xdr:row>4</xdr:row>
      <xdr:rowOff>28575</xdr:rowOff>
    </xdr:from>
    <xdr:to>
      <xdr:col>6</xdr:col>
      <xdr:colOff>742950</xdr:colOff>
      <xdr:row>17</xdr:row>
      <xdr:rowOff>161925</xdr:rowOff>
    </xdr:to>
    <xdr:pic>
      <xdr:nvPicPr>
        <xdr:cNvPr id="10" name="Image 9">
          <a:extLst>
            <a:ext uri="{FF2B5EF4-FFF2-40B4-BE49-F238E27FC236}">
              <a16:creationId xmlns:a16="http://schemas.microsoft.com/office/drawing/2014/main" xmlns="" id="{00000000-0008-0000-0300-00000A000000}"/>
            </a:ext>
          </a:extLst>
        </xdr:cNvPr>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23471" t="31918" r="26445" b="36377"/>
        <a:stretch/>
      </xdr:blipFill>
      <xdr:spPr bwMode="auto">
        <a:xfrm>
          <a:off x="771525" y="800100"/>
          <a:ext cx="4543425" cy="2609850"/>
        </a:xfrm>
        <a:prstGeom prst="rect">
          <a:avLst/>
        </a:prstGeom>
        <a:ln>
          <a:noFill/>
        </a:ln>
        <a:extLst>
          <a:ext uri="{53640926-AAD7-44D8-BBD7-CCE9431645EC}">
            <a14:shadowObscured xmlns:a14="http://schemas.microsoft.com/office/drawing/2010/main"/>
          </a:ext>
        </a:extLst>
      </xdr:spPr>
    </xdr:pic>
    <xdr:clientData/>
  </xdr:twoCellAnchor>
  <xdr:oneCellAnchor>
    <xdr:from>
      <xdr:col>7</xdr:col>
      <xdr:colOff>361950</xdr:colOff>
      <xdr:row>23</xdr:row>
      <xdr:rowOff>38100</xdr:rowOff>
    </xdr:from>
    <xdr:ext cx="5638800" cy="981075"/>
    <xdr:sp macro="" textlink="">
      <xdr:nvSpPr>
        <xdr:cNvPr id="11" name="ZoneTexte 10">
          <a:extLst>
            <a:ext uri="{FF2B5EF4-FFF2-40B4-BE49-F238E27FC236}">
              <a16:creationId xmlns:a16="http://schemas.microsoft.com/office/drawing/2014/main" xmlns="" id="{00000000-0008-0000-0300-00000B000000}"/>
            </a:ext>
          </a:extLst>
        </xdr:cNvPr>
        <xdr:cNvSpPr txBox="1"/>
      </xdr:nvSpPr>
      <xdr:spPr>
        <a:xfrm>
          <a:off x="5695950" y="4438650"/>
          <a:ext cx="5638800" cy="981075"/>
        </a:xfrm>
        <a:prstGeom prst="rect">
          <a:avLst/>
        </a:prstGeom>
        <a:solidFill>
          <a:schemeClr val="bg1">
            <a:lumMod val="85000"/>
          </a:schemeClr>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marR="0" indent="0" defTabSz="914400" eaLnBrk="1" fontAlgn="auto" latinLnBrk="0" hangingPunct="1">
            <a:lnSpc>
              <a:spcPct val="100000"/>
            </a:lnSpc>
            <a:spcBef>
              <a:spcPts val="0"/>
            </a:spcBef>
            <a:spcAft>
              <a:spcPts val="0"/>
            </a:spcAft>
            <a:buClrTx/>
            <a:buSzTx/>
            <a:buFontTx/>
            <a:buNone/>
            <a:tabLst/>
            <a:defRPr/>
          </a:pPr>
          <a:r>
            <a:rPr lang="fr-FR" sz="1100" b="1">
              <a:solidFill>
                <a:schemeClr val="tx1"/>
              </a:solidFill>
              <a:effectLst/>
              <a:latin typeface="+mn-lt"/>
              <a:ea typeface="+mn-ea"/>
              <a:cs typeface="+mn-cs"/>
            </a:rPr>
            <a:t>L’épargne nette  correspond à l’épargne de gestion après déduction de l'annuité de dette, ou épargne brute après déduction des remboursements de dette. L’annuité et les remboursements sont pris hors gestion active de la dette. Elle mesure l'épargne disponible pour l'équipement brut après financement des remboursements de dette. </a:t>
          </a:r>
        </a:p>
        <a:p>
          <a:pPr marL="0" marR="0" indent="0" defTabSz="914400" eaLnBrk="1" fontAlgn="auto" latinLnBrk="0" hangingPunct="1">
            <a:lnSpc>
              <a:spcPct val="100000"/>
            </a:lnSpc>
            <a:spcBef>
              <a:spcPts val="0"/>
            </a:spcBef>
            <a:spcAft>
              <a:spcPts val="0"/>
            </a:spcAft>
            <a:buClrTx/>
            <a:buSzTx/>
            <a:buFontTx/>
            <a:buNone/>
            <a:tabLst/>
            <a:defRPr/>
          </a:pPr>
          <a:r>
            <a:rPr lang="fr-FR" sz="1100" b="1">
              <a:solidFill>
                <a:schemeClr val="tx1"/>
              </a:solidFill>
              <a:effectLst/>
              <a:latin typeface="+mn-lt"/>
              <a:ea typeface="+mn-ea"/>
              <a:cs typeface="+mn-cs"/>
            </a:rPr>
            <a:t>C'est la capacité d'autofinancement de l'investissement.</a:t>
          </a:r>
        </a:p>
        <a:p>
          <a:pPr marL="0" marR="0" indent="0" defTabSz="914400" eaLnBrk="1" fontAlgn="auto" latinLnBrk="0" hangingPunct="1">
            <a:lnSpc>
              <a:spcPct val="100000"/>
            </a:lnSpc>
            <a:spcBef>
              <a:spcPts val="0"/>
            </a:spcBef>
            <a:spcAft>
              <a:spcPts val="0"/>
            </a:spcAft>
            <a:buClrTx/>
            <a:buSzTx/>
            <a:buFontTx/>
            <a:buNone/>
            <a:tabLst/>
            <a:defRPr/>
          </a:pPr>
          <a:endParaRPr lang="fr-FR" sz="1100">
            <a:solidFill>
              <a:schemeClr val="tx1"/>
            </a:solidFill>
            <a:effectLst/>
            <a:latin typeface="+mn-lt"/>
            <a:ea typeface="+mn-ea"/>
            <a:cs typeface="+mn-cs"/>
          </a:endParaRPr>
        </a:p>
        <a:p>
          <a:endParaRPr lang="fr-FR" sz="1100"/>
        </a:p>
      </xdr:txBody>
    </xdr:sp>
    <xdr:clientData/>
  </xdr:oneCellAnchor>
  <xdr:twoCellAnchor>
    <xdr:from>
      <xdr:col>0</xdr:col>
      <xdr:colOff>752475</xdr:colOff>
      <xdr:row>41</xdr:row>
      <xdr:rowOff>152400</xdr:rowOff>
    </xdr:from>
    <xdr:to>
      <xdr:col>10</xdr:col>
      <xdr:colOff>57150</xdr:colOff>
      <xdr:row>49</xdr:row>
      <xdr:rowOff>66675</xdr:rowOff>
    </xdr:to>
    <xdr:sp macro="" textlink="">
      <xdr:nvSpPr>
        <xdr:cNvPr id="3" name="ZoneTexte 2"/>
        <xdr:cNvSpPr txBox="1"/>
      </xdr:nvSpPr>
      <xdr:spPr>
        <a:xfrm>
          <a:off x="752475" y="7981950"/>
          <a:ext cx="6924675" cy="1438275"/>
        </a:xfrm>
        <a:prstGeom prst="rect">
          <a:avLst/>
        </a:prstGeom>
        <a:solidFill>
          <a:schemeClr val="bg1">
            <a:lumMod val="85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200" b="1">
              <a:effectLst/>
            </a:rPr>
            <a:t>La capacité de désendettement est un ratio d’analyse financière des collectivités locales qui mesure le rapport entre l’épargne et la dette, la première finançant la seconde. </a:t>
          </a:r>
        </a:p>
        <a:p>
          <a:r>
            <a:rPr lang="fr-FR" sz="1200" b="1">
              <a:effectLst/>
            </a:rPr>
            <a:t>Elle se calcule comme l’encours de la dette rapport à l’épargne brute (ou capacité d’autofinancement). Exprimé en nombre d’années, ce ratio est une mesure de la solvabilité financière des collectivités locales. Il permet de déterminer le nombre d’années (théoriques) nécessaires pour rembourser intégralement le capital de la dette, en supposant que la collectivité y consacre la totalité de son épargne brute. A encours identiques, plus une collectivité dégage de l’épargne, et plus elle pourrait rembourser rapidement sa dette.</a:t>
          </a:r>
          <a:endParaRPr lang="fr-FR" sz="1200" b="1"/>
        </a:p>
      </xdr:txBody>
    </xdr: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C9"/>
  <sheetViews>
    <sheetView tabSelected="1" zoomScale="120" zoomScaleNormal="120" workbookViewId="0">
      <selection activeCell="M26" sqref="M26"/>
    </sheetView>
  </sheetViews>
  <sheetFormatPr baseColWidth="10" defaultRowHeight="15" x14ac:dyDescent="0.25"/>
  <sheetData>
    <row r="2" spans="1:3" ht="23.25" x14ac:dyDescent="0.35">
      <c r="C2" s="26"/>
    </row>
    <row r="9" spans="1:3" x14ac:dyDescent="0.25">
      <c r="A9" s="27"/>
    </row>
  </sheetData>
  <sheetProtection password="8C11" sheet="1" objects="1" scenarios="1"/>
  <pageMargins left="0.7" right="0.7" top="0.75" bottom="0.75" header="0.3" footer="0.3"/>
  <pageSetup paperSize="9" scale="95" fitToHeight="0"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2"/>
  <dimension ref="A1:N101"/>
  <sheetViews>
    <sheetView zoomScaleNormal="100" workbookViewId="0">
      <selection activeCell="D45" sqref="D45"/>
    </sheetView>
  </sheetViews>
  <sheetFormatPr baseColWidth="10" defaultRowHeight="15" x14ac:dyDescent="0.25"/>
  <cols>
    <col min="1" max="1" width="11.42578125" customWidth="1"/>
    <col min="2" max="2" width="30.7109375" customWidth="1"/>
    <col min="3" max="3" width="5.7109375" customWidth="1"/>
    <col min="4" max="4" width="25.7109375" customWidth="1"/>
    <col min="5" max="5" width="5.7109375" customWidth="1"/>
    <col min="6" max="6" width="25.7109375" customWidth="1"/>
    <col min="7" max="7" width="5.7109375" customWidth="1"/>
    <col min="8" max="8" width="25.7109375" customWidth="1"/>
    <col min="9" max="9" width="5.7109375" customWidth="1"/>
    <col min="10" max="10" width="25.7109375" customWidth="1"/>
    <col min="11" max="11" width="5.7109375" customWidth="1"/>
    <col min="12" max="12" width="25.7109375" customWidth="1"/>
  </cols>
  <sheetData>
    <row r="1" spans="2:12" ht="26.25" x14ac:dyDescent="0.4">
      <c r="C1" s="53" t="s">
        <v>142</v>
      </c>
      <c r="D1" s="51"/>
      <c r="E1" s="51"/>
      <c r="F1" s="51"/>
      <c r="G1" s="51"/>
    </row>
    <row r="4" spans="2:12" x14ac:dyDescent="0.25">
      <c r="B4" s="8" t="s">
        <v>63</v>
      </c>
      <c r="L4" s="21"/>
    </row>
    <row r="6" spans="2:12" x14ac:dyDescent="0.25">
      <c r="B6" s="93" t="s">
        <v>102</v>
      </c>
      <c r="C6" s="93"/>
      <c r="D6" s="93"/>
    </row>
    <row r="7" spans="2:12" x14ac:dyDescent="0.25">
      <c r="B7" s="94" t="s">
        <v>104</v>
      </c>
      <c r="C7" s="94"/>
      <c r="D7" s="94"/>
    </row>
    <row r="8" spans="2:12" x14ac:dyDescent="0.25">
      <c r="B8" s="61"/>
      <c r="C8" s="61"/>
      <c r="D8" s="61"/>
      <c r="F8" s="61"/>
      <c r="G8" s="61"/>
      <c r="H8" s="61"/>
    </row>
    <row r="9" spans="2:12" x14ac:dyDescent="0.25">
      <c r="B9" s="93" t="s">
        <v>103</v>
      </c>
      <c r="C9" s="93"/>
      <c r="D9" s="93"/>
      <c r="F9" s="61"/>
      <c r="G9" s="61"/>
      <c r="H9" s="61"/>
    </row>
    <row r="10" spans="2:12" ht="21" x14ac:dyDescent="0.35">
      <c r="B10" s="94" t="s">
        <v>128</v>
      </c>
      <c r="C10" s="94"/>
      <c r="D10" s="94"/>
      <c r="H10" s="85"/>
    </row>
    <row r="12" spans="2:12" ht="30" x14ac:dyDescent="0.25">
      <c r="B12" s="54" t="s">
        <v>1</v>
      </c>
      <c r="C12" s="55"/>
      <c r="D12" s="54" t="s">
        <v>51</v>
      </c>
      <c r="E12" s="55"/>
      <c r="F12" s="56" t="s">
        <v>96</v>
      </c>
      <c r="G12" s="55"/>
      <c r="H12" s="54" t="s">
        <v>58</v>
      </c>
      <c r="I12" s="55"/>
      <c r="J12" s="54" t="s">
        <v>85</v>
      </c>
      <c r="L12" s="21"/>
    </row>
    <row r="13" spans="2:12" x14ac:dyDescent="0.25">
      <c r="B13" s="67" t="s">
        <v>59</v>
      </c>
      <c r="D13" s="66" t="s">
        <v>53</v>
      </c>
      <c r="F13" s="69">
        <v>1200000</v>
      </c>
      <c r="H13" s="57">
        <v>7.4999999999999997E-3</v>
      </c>
      <c r="J13" s="81">
        <v>1.41E-2</v>
      </c>
    </row>
    <row r="15" spans="2:12" x14ac:dyDescent="0.25">
      <c r="B15" s="3" t="s">
        <v>2</v>
      </c>
      <c r="D15" s="2" t="s">
        <v>82</v>
      </c>
      <c r="J15" s="2" t="s">
        <v>87</v>
      </c>
    </row>
    <row r="16" spans="2:12" x14ac:dyDescent="0.25">
      <c r="B16" s="5" t="s">
        <v>124</v>
      </c>
      <c r="D16" s="66" t="s">
        <v>52</v>
      </c>
      <c r="J16" s="81">
        <v>1.6899999999999998E-2</v>
      </c>
    </row>
    <row r="17" spans="2:12" x14ac:dyDescent="0.25">
      <c r="B17" s="68">
        <v>43276</v>
      </c>
    </row>
    <row r="18" spans="2:12" x14ac:dyDescent="0.25">
      <c r="J18" s="2" t="s">
        <v>86</v>
      </c>
    </row>
    <row r="19" spans="2:12" x14ac:dyDescent="0.25">
      <c r="B19" s="3" t="s">
        <v>94</v>
      </c>
      <c r="J19" s="81">
        <v>1.8700000000000001E-2</v>
      </c>
    </row>
    <row r="20" spans="2:12" x14ac:dyDescent="0.25">
      <c r="B20" s="5" t="s">
        <v>124</v>
      </c>
    </row>
    <row r="21" spans="2:12" x14ac:dyDescent="0.25">
      <c r="B21" s="68">
        <v>43599</v>
      </c>
    </row>
    <row r="22" spans="2:12" x14ac:dyDescent="0.25">
      <c r="B22" s="52"/>
    </row>
    <row r="23" spans="2:12" x14ac:dyDescent="0.25">
      <c r="B23" s="52"/>
    </row>
    <row r="24" spans="2:12" x14ac:dyDescent="0.25">
      <c r="B24" s="52"/>
    </row>
    <row r="25" spans="2:12" x14ac:dyDescent="0.25">
      <c r="B25" s="8" t="s">
        <v>123</v>
      </c>
    </row>
    <row r="27" spans="2:12" x14ac:dyDescent="0.25">
      <c r="B27" s="2" t="s">
        <v>3</v>
      </c>
    </row>
    <row r="28" spans="2:12" ht="18.75" x14ac:dyDescent="0.3">
      <c r="B28" s="70">
        <v>1162920</v>
      </c>
      <c r="D28" s="73" t="str">
        <f>IF(B28=B33+D33+F33+H33+J33,"","Attention, le montant total du projet n'est pas égal à la somme des 5 parties détaillées !!")</f>
        <v/>
      </c>
    </row>
    <row r="29" spans="2:12" x14ac:dyDescent="0.25">
      <c r="B29" s="16"/>
    </row>
    <row r="30" spans="2:12" x14ac:dyDescent="0.25">
      <c r="B30" s="16" t="s">
        <v>50</v>
      </c>
    </row>
    <row r="32" spans="2:12" x14ac:dyDescent="0.25">
      <c r="B32" s="2" t="s">
        <v>4</v>
      </c>
      <c r="D32" s="6" t="s">
        <v>5</v>
      </c>
      <c r="F32" s="2" t="s">
        <v>84</v>
      </c>
      <c r="H32" s="2" t="s">
        <v>6</v>
      </c>
      <c r="J32" s="2" t="s">
        <v>7</v>
      </c>
      <c r="L32" s="58"/>
    </row>
    <row r="33" spans="2:14" x14ac:dyDescent="0.25">
      <c r="B33" s="70">
        <v>0</v>
      </c>
      <c r="D33" s="70">
        <v>0</v>
      </c>
      <c r="F33" s="70"/>
      <c r="H33" s="70">
        <v>1162920</v>
      </c>
      <c r="J33" s="70">
        <v>0</v>
      </c>
    </row>
    <row r="34" spans="2:14" x14ac:dyDescent="0.25">
      <c r="B34" s="16"/>
      <c r="D34" s="37"/>
      <c r="F34" s="16"/>
      <c r="H34" s="16"/>
      <c r="J34" s="16"/>
    </row>
    <row r="35" spans="2:14" x14ac:dyDescent="0.25">
      <c r="B35" s="16"/>
      <c r="D35" s="16"/>
      <c r="F35" s="16"/>
      <c r="H35" s="16"/>
      <c r="J35" s="16"/>
    </row>
    <row r="37" spans="2:14" x14ac:dyDescent="0.25">
      <c r="B37" s="8" t="s">
        <v>129</v>
      </c>
      <c r="F37" s="58"/>
    </row>
    <row r="39" spans="2:14" x14ac:dyDescent="0.25">
      <c r="B39" s="2" t="s">
        <v>12</v>
      </c>
      <c r="D39" s="2" t="s">
        <v>8</v>
      </c>
      <c r="F39" s="2" t="s">
        <v>9</v>
      </c>
      <c r="H39" s="2" t="s">
        <v>10</v>
      </c>
      <c r="J39" s="2" t="s">
        <v>97</v>
      </c>
    </row>
    <row r="40" spans="2:14" x14ac:dyDescent="0.25">
      <c r="B40" s="70"/>
      <c r="D40" s="70">
        <v>3271000</v>
      </c>
      <c r="F40" s="70">
        <v>372000</v>
      </c>
      <c r="H40" s="70">
        <v>284000</v>
      </c>
      <c r="J40" s="70">
        <v>154000</v>
      </c>
    </row>
    <row r="41" spans="2:14" x14ac:dyDescent="0.25">
      <c r="B41" s="16"/>
      <c r="D41" s="16"/>
      <c r="F41" s="16"/>
      <c r="H41" s="16"/>
      <c r="J41" s="16"/>
      <c r="N41" s="16"/>
    </row>
    <row r="42" spans="2:14" x14ac:dyDescent="0.25">
      <c r="B42" s="71" t="s">
        <v>110</v>
      </c>
      <c r="D42" s="16"/>
      <c r="F42" s="16"/>
      <c r="H42" s="16"/>
      <c r="J42" s="16"/>
      <c r="N42" s="16"/>
    </row>
    <row r="43" spans="2:14" x14ac:dyDescent="0.25">
      <c r="B43" s="43" t="s">
        <v>106</v>
      </c>
      <c r="D43" s="16"/>
      <c r="F43" s="16"/>
      <c r="H43" s="16"/>
      <c r="J43" s="16"/>
      <c r="N43" s="16"/>
    </row>
    <row r="44" spans="2:14" x14ac:dyDescent="0.25">
      <c r="B44" s="16"/>
      <c r="D44" s="16"/>
      <c r="F44" s="16"/>
      <c r="H44" s="16"/>
      <c r="J44" s="16"/>
      <c r="N44" s="16"/>
    </row>
    <row r="45" spans="2:14" x14ac:dyDescent="0.25">
      <c r="B45" s="2" t="s">
        <v>21</v>
      </c>
      <c r="D45" s="2" t="s">
        <v>13</v>
      </c>
      <c r="F45" s="2" t="s">
        <v>39</v>
      </c>
      <c r="H45" s="16"/>
      <c r="J45" s="16"/>
      <c r="N45" s="16"/>
    </row>
    <row r="46" spans="2:14" x14ac:dyDescent="0.25">
      <c r="B46" s="66"/>
      <c r="D46" s="66"/>
      <c r="F46" s="66"/>
      <c r="H46" s="16"/>
      <c r="J46" s="16"/>
      <c r="N46" s="16"/>
    </row>
    <row r="47" spans="2:14" x14ac:dyDescent="0.25">
      <c r="B47" s="16"/>
      <c r="D47" s="16"/>
      <c r="F47" s="16"/>
      <c r="H47" s="16"/>
      <c r="J47" s="16"/>
      <c r="N47" s="16"/>
    </row>
    <row r="48" spans="2:14" x14ac:dyDescent="0.25">
      <c r="B48" s="16"/>
      <c r="D48" s="16"/>
      <c r="F48" s="16"/>
      <c r="H48" s="16"/>
      <c r="J48" s="16"/>
      <c r="N48" s="16"/>
    </row>
    <row r="49" spans="2:14" x14ac:dyDescent="0.25">
      <c r="B49" s="16"/>
      <c r="D49" s="16"/>
      <c r="F49" s="16"/>
      <c r="H49" s="16"/>
      <c r="J49" s="16"/>
      <c r="N49" s="16"/>
    </row>
    <row r="50" spans="2:14" x14ac:dyDescent="0.25">
      <c r="B50" s="8" t="s">
        <v>122</v>
      </c>
      <c r="F50" s="58"/>
      <c r="N50" s="16"/>
    </row>
    <row r="51" spans="2:14" x14ac:dyDescent="0.25">
      <c r="H51" s="21"/>
      <c r="N51" s="16"/>
    </row>
    <row r="52" spans="2:14" x14ac:dyDescent="0.25">
      <c r="B52" s="2" t="s">
        <v>54</v>
      </c>
      <c r="D52" s="2" t="s">
        <v>8</v>
      </c>
      <c r="F52" s="2" t="s">
        <v>9</v>
      </c>
      <c r="H52" s="2" t="s">
        <v>10</v>
      </c>
      <c r="J52" s="2" t="s">
        <v>11</v>
      </c>
      <c r="N52" s="16"/>
    </row>
    <row r="53" spans="2:14" x14ac:dyDescent="0.25">
      <c r="B53" s="70"/>
      <c r="D53" s="70">
        <v>1733000</v>
      </c>
      <c r="F53" s="70">
        <v>70000</v>
      </c>
      <c r="H53" s="70">
        <v>15000</v>
      </c>
      <c r="J53" s="70">
        <v>129000</v>
      </c>
      <c r="N53" s="16"/>
    </row>
    <row r="54" spans="2:14" x14ac:dyDescent="0.25">
      <c r="B54" s="9"/>
    </row>
    <row r="55" spans="2:14" x14ac:dyDescent="0.25">
      <c r="B55" s="71" t="s">
        <v>109</v>
      </c>
    </row>
    <row r="56" spans="2:14" x14ac:dyDescent="0.25">
      <c r="B56" s="43" t="s">
        <v>106</v>
      </c>
    </row>
    <row r="57" spans="2:14" x14ac:dyDescent="0.25">
      <c r="B57" s="71"/>
    </row>
    <row r="58" spans="2:14" x14ac:dyDescent="0.25">
      <c r="B58" s="2" t="s">
        <v>21</v>
      </c>
      <c r="D58" s="2" t="s">
        <v>13</v>
      </c>
      <c r="F58" s="2" t="s">
        <v>39</v>
      </c>
    </row>
    <row r="59" spans="2:14" x14ac:dyDescent="0.25">
      <c r="B59" s="66"/>
      <c r="D59" s="66"/>
      <c r="F59" s="66"/>
    </row>
    <row r="60" spans="2:14" x14ac:dyDescent="0.25">
      <c r="B60" s="9"/>
    </row>
    <row r="61" spans="2:14" x14ac:dyDescent="0.25">
      <c r="B61" s="9"/>
    </row>
    <row r="62" spans="2:14" x14ac:dyDescent="0.25">
      <c r="B62" s="9"/>
    </row>
    <row r="63" spans="2:14" x14ac:dyDescent="0.25">
      <c r="B63" s="8" t="s">
        <v>111</v>
      </c>
      <c r="C63" s="8"/>
      <c r="D63" s="58"/>
    </row>
    <row r="65" spans="2:8" ht="30" x14ac:dyDescent="0.25">
      <c r="B65" s="20" t="s">
        <v>136</v>
      </c>
      <c r="D65" s="2" t="s">
        <v>13</v>
      </c>
      <c r="F65" s="2" t="s">
        <v>14</v>
      </c>
      <c r="H65" s="2" t="s">
        <v>11</v>
      </c>
    </row>
    <row r="66" spans="2:8" x14ac:dyDescent="0.25">
      <c r="B66" s="70">
        <v>0</v>
      </c>
      <c r="D66" s="66">
        <v>15</v>
      </c>
      <c r="F66" s="72">
        <v>1.4999999999999999E-2</v>
      </c>
      <c r="H66" s="79">
        <f>(B66*F66)/(1-(1+F66)^(-D66))</f>
        <v>0</v>
      </c>
    </row>
    <row r="67" spans="2:8" x14ac:dyDescent="0.25">
      <c r="B67" s="59" t="s">
        <v>98</v>
      </c>
    </row>
    <row r="69" spans="2:8" ht="45" x14ac:dyDescent="0.25">
      <c r="B69" s="74" t="s">
        <v>135</v>
      </c>
    </row>
    <row r="70" spans="2:8" x14ac:dyDescent="0.25">
      <c r="B70" s="70">
        <v>37920</v>
      </c>
    </row>
    <row r="71" spans="2:8" x14ac:dyDescent="0.25">
      <c r="B71" s="16"/>
    </row>
    <row r="72" spans="2:8" x14ac:dyDescent="0.25">
      <c r="B72" s="16"/>
    </row>
    <row r="73" spans="2:8" ht="45" x14ac:dyDescent="0.25">
      <c r="B73" s="7" t="s">
        <v>134</v>
      </c>
      <c r="D73" s="58"/>
    </row>
    <row r="74" spans="2:8" x14ac:dyDescent="0.25">
      <c r="B74" s="70">
        <v>0</v>
      </c>
    </row>
    <row r="75" spans="2:8" x14ac:dyDescent="0.25">
      <c r="B75" s="16"/>
    </row>
    <row r="76" spans="2:8" x14ac:dyDescent="0.25">
      <c r="B76" s="16"/>
    </row>
    <row r="77" spans="2:8" ht="17.25" x14ac:dyDescent="0.4">
      <c r="B77" s="17"/>
    </row>
    <row r="78" spans="2:8" x14ac:dyDescent="0.25">
      <c r="B78" s="8" t="s">
        <v>131</v>
      </c>
      <c r="F78" s="18"/>
    </row>
    <row r="79" spans="2:8" ht="15.75" thickBot="1" x14ac:dyDescent="0.3">
      <c r="B79" s="8"/>
      <c r="F79" s="18"/>
    </row>
    <row r="80" spans="2:8" ht="15.75" thickBot="1" x14ac:dyDescent="0.3">
      <c r="B80" s="95" t="str">
        <f ca="1">IF((B17)&lt;TODAY(),"Non éligible, les travaux ont déjà commencé", IF(B13="Autre","Type de travaux non éligible","Projet a priori éligible"))</f>
        <v>Projet a priori éligible</v>
      </c>
      <c r="C80" s="96"/>
      <c r="D80" s="97"/>
      <c r="F80" s="18"/>
    </row>
    <row r="81" spans="1:10" x14ac:dyDescent="0.25">
      <c r="B81" s="16"/>
    </row>
    <row r="82" spans="1:10" x14ac:dyDescent="0.25">
      <c r="F82" s="18"/>
    </row>
    <row r="83" spans="1:10" x14ac:dyDescent="0.25">
      <c r="B83" s="18"/>
    </row>
    <row r="84" spans="1:10" x14ac:dyDescent="0.25">
      <c r="B84" s="8" t="s">
        <v>130</v>
      </c>
    </row>
    <row r="85" spans="1:10" x14ac:dyDescent="0.25">
      <c r="B85" s="8"/>
    </row>
    <row r="86" spans="1:10" x14ac:dyDescent="0.25">
      <c r="A86" s="27" t="s">
        <v>132</v>
      </c>
      <c r="B86" s="8"/>
    </row>
    <row r="87" spans="1:10" x14ac:dyDescent="0.25">
      <c r="B87" s="2" t="s">
        <v>137</v>
      </c>
      <c r="D87" s="2" t="s">
        <v>99</v>
      </c>
    </row>
    <row r="88" spans="1:10" x14ac:dyDescent="0.25">
      <c r="B88" s="80" t="str">
        <f>IF(B13='Ne pas toucher'!A2,"0%",IF(B13='Ne pas toucher'!A3,"30%",IF(AND(B13='Ne pas toucher'!A5,'A remplir'!D13='Ne pas toucher'!A29),"40%",IF(AND(B13='Ne pas toucher'!A4,'A remplir'!D13='Ne pas toucher'!A29),IF('A remplir'!D16='Ne pas toucher'!A29,"50%","40%"),"0%"))))</f>
        <v>30%</v>
      </c>
      <c r="D88" s="79">
        <f>H33*B88</f>
        <v>348876</v>
      </c>
    </row>
    <row r="90" spans="1:10" x14ac:dyDescent="0.25">
      <c r="A90" s="27" t="s">
        <v>133</v>
      </c>
    </row>
    <row r="91" spans="1:10" x14ac:dyDescent="0.25">
      <c r="B91" s="2" t="s">
        <v>138</v>
      </c>
      <c r="D91" s="2" t="s">
        <v>99</v>
      </c>
      <c r="F91" s="2" t="s">
        <v>77</v>
      </c>
      <c r="H91" s="2" t="s">
        <v>72</v>
      </c>
      <c r="J91" s="2" t="s">
        <v>11</v>
      </c>
    </row>
    <row r="92" spans="1:10" x14ac:dyDescent="0.25">
      <c r="B92" s="80" t="str">
        <f>IF(B13='Ne pas toucher'!A2,"30%","0%")</f>
        <v>0%</v>
      </c>
      <c r="D92" s="79">
        <f>H33*B92</f>
        <v>0</v>
      </c>
      <c r="F92" s="80">
        <v>15</v>
      </c>
      <c r="H92" s="80" t="s">
        <v>75</v>
      </c>
      <c r="J92" s="79">
        <f>D92/F92</f>
        <v>0</v>
      </c>
    </row>
    <row r="94" spans="1:10" x14ac:dyDescent="0.25">
      <c r="A94" s="27" t="s">
        <v>64</v>
      </c>
    </row>
    <row r="95" spans="1:10" ht="30" x14ac:dyDescent="0.25">
      <c r="B95" s="87" t="s">
        <v>139</v>
      </c>
      <c r="D95" s="19" t="s">
        <v>140</v>
      </c>
      <c r="F95" s="86" t="s">
        <v>141</v>
      </c>
    </row>
    <row r="96" spans="1:10" x14ac:dyDescent="0.25">
      <c r="B96" s="66" t="s">
        <v>90</v>
      </c>
      <c r="D96" s="72">
        <v>1.2E-2</v>
      </c>
      <c r="F96" s="82">
        <f>B28-B66-B70-B74-D88-D92</f>
        <v>776124</v>
      </c>
    </row>
    <row r="97" spans="2:10" x14ac:dyDescent="0.25">
      <c r="H97" s="21"/>
    </row>
    <row r="98" spans="2:10" x14ac:dyDescent="0.25">
      <c r="B98" s="2" t="s">
        <v>21</v>
      </c>
      <c r="D98" s="2" t="s">
        <v>112</v>
      </c>
      <c r="E98" s="75"/>
      <c r="F98" s="2" t="s">
        <v>113</v>
      </c>
      <c r="H98" s="2" t="s">
        <v>39</v>
      </c>
      <c r="J98" s="2" t="s">
        <v>47</v>
      </c>
    </row>
    <row r="99" spans="2:10" x14ac:dyDescent="0.25">
      <c r="B99" s="70">
        <f>650000+126124</f>
        <v>776124</v>
      </c>
      <c r="D99" s="66">
        <v>40</v>
      </c>
      <c r="E99" s="76"/>
      <c r="F99" s="80">
        <f>IF(B96='Ne pas toucher'!A18,15,IF(B96='Ne pas toucher'!A19,20,IF(B96='Ne pas toucher'!A20,25,'A remplir'!D99)))</f>
        <v>25</v>
      </c>
      <c r="H99" s="83">
        <f>(B99*J99)/(1-(1+J99)^(-F99))</f>
        <v>39149.301362794758</v>
      </c>
      <c r="J99" s="84">
        <f>IF(B96='A remplir'!A27,'A remplir'!J13,IF(B96='Ne pas toucher'!A19,'A remplir'!J16,IF(B96='Ne pas toucher'!A20,'A remplir'!J19,IF(B96='Ne pas toucher'!A21,'A remplir'!H13+0.75%,IF(B96='Ne pas toucher'!A22,'A remplir'!H13+1%,'A remplir'!D96)))))</f>
        <v>1.8700000000000001E-2</v>
      </c>
    </row>
    <row r="101" spans="2:10" x14ac:dyDescent="0.25">
      <c r="D101" s="77" t="s">
        <v>114</v>
      </c>
    </row>
  </sheetData>
  <sheetProtection password="8C11" sheet="1" objects="1" scenarios="1"/>
  <mergeCells count="5">
    <mergeCell ref="B9:D9"/>
    <mergeCell ref="B10:D10"/>
    <mergeCell ref="B80:D80"/>
    <mergeCell ref="B6:D6"/>
    <mergeCell ref="B7:D7"/>
  </mergeCells>
  <conditionalFormatting sqref="B80">
    <cfRule type="cellIs" dxfId="54" priority="2" operator="equal">
      <formula>"Projet a priori éligible"</formula>
    </cfRule>
  </conditionalFormatting>
  <conditionalFormatting sqref="B80:D80">
    <cfRule type="containsText" dxfId="53" priority="1" operator="containsText" text="Non">
      <formula>NOT(ISERROR(SEARCH("Non",B80)))</formula>
    </cfRule>
  </conditionalFormatting>
  <pageMargins left="0.7" right="0.7" top="0.75" bottom="0.75" header="0.3" footer="0.3"/>
  <pageSetup paperSize="9" orientation="portrait" r:id="rId1"/>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Choisissez votre type de projet">
          <x14:formula1>
            <xm:f>'Ne pas toucher'!$A$2:$A$6</xm:f>
          </x14:formula1>
          <xm:sqref>B13</xm:sqref>
        </x14:dataValidation>
        <x14:dataValidation type="list" allowBlank="1" showInputMessage="1" showErrorMessage="1" prompt="Choissez le type de prêt   souhaité">
          <x14:formula1>
            <xm:f>'Ne pas toucher'!$A$18:$A$23</xm:f>
          </x14:formula1>
          <xm:sqref>B96</xm:sqref>
        </x14:dataValidation>
        <x14:dataValidation type="list" allowBlank="1" showInputMessage="1" showErrorMessage="1" prompt="Etes-vous situés en zone montagne ?">
          <x14:formula1>
            <xm:f>'Ne pas toucher'!$A$29:$A$30</xm:f>
          </x14:formula1>
          <xm:sqref>D13</xm:sqref>
        </x14:dataValidation>
        <x14:dataValidation type="list" allowBlank="1" showInputMessage="1" showErrorMessage="1">
          <x14:formula1>
            <xm:f>'Ne pas toucher'!$A$29:$A$30</xm:f>
          </x14:formula1>
          <xm:sqref>D16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
    <pageSetUpPr fitToPage="1"/>
  </sheetPr>
  <dimension ref="A1:M195"/>
  <sheetViews>
    <sheetView zoomScale="90" zoomScaleNormal="90" workbookViewId="0">
      <selection activeCell="J24" sqref="J24"/>
    </sheetView>
  </sheetViews>
  <sheetFormatPr baseColWidth="10" defaultRowHeight="15" x14ac:dyDescent="0.25"/>
  <cols>
    <col min="2" max="2" width="40.7109375" customWidth="1"/>
    <col min="3" max="3" width="16.85546875" customWidth="1"/>
    <col min="4" max="4" width="15.28515625" customWidth="1"/>
    <col min="5" max="5" width="25.28515625" customWidth="1"/>
    <col min="6" max="6" width="17.28515625" customWidth="1"/>
    <col min="9" max="9" width="21.85546875" customWidth="1"/>
    <col min="10" max="10" width="20.7109375" customWidth="1"/>
    <col min="11" max="11" width="19.42578125" customWidth="1"/>
    <col min="12" max="12" width="16.85546875" customWidth="1"/>
    <col min="13" max="13" width="20.140625" customWidth="1"/>
  </cols>
  <sheetData>
    <row r="1" spans="1:7" ht="26.25" x14ac:dyDescent="0.4">
      <c r="A1" s="89" t="s">
        <v>144</v>
      </c>
      <c r="B1" s="90"/>
      <c r="C1" s="90"/>
      <c r="D1" s="91"/>
    </row>
    <row r="2" spans="1:7" ht="26.25" x14ac:dyDescent="0.4">
      <c r="A2" s="88" t="s">
        <v>143</v>
      </c>
      <c r="B2" s="88" t="str">
        <f>'A remplir'!B7:D7</f>
        <v>Construction d'une station d'épuration</v>
      </c>
      <c r="C2" s="9"/>
      <c r="D2" s="92"/>
    </row>
    <row r="3" spans="1:7" ht="27" thickBot="1" x14ac:dyDescent="0.45">
      <c r="A3" s="62" t="s">
        <v>105</v>
      </c>
      <c r="B3" s="63" t="str">
        <f>'A remplir'!B10:D10</f>
        <v>Ondine</v>
      </c>
      <c r="C3" s="64"/>
      <c r="D3" s="65"/>
    </row>
    <row r="7" spans="1:7" x14ac:dyDescent="0.25">
      <c r="B7" s="8" t="s">
        <v>125</v>
      </c>
      <c r="D7" s="21"/>
    </row>
    <row r="9" spans="1:7" x14ac:dyDescent="0.25">
      <c r="B9" s="11" t="s">
        <v>22</v>
      </c>
      <c r="C9" s="11" t="s">
        <v>24</v>
      </c>
      <c r="D9" s="11" t="s">
        <v>23</v>
      </c>
      <c r="E9" s="11" t="s">
        <v>25</v>
      </c>
      <c r="F9" s="11" t="s">
        <v>24</v>
      </c>
      <c r="G9" s="11" t="s">
        <v>23</v>
      </c>
    </row>
    <row r="10" spans="1:7" x14ac:dyDescent="0.25">
      <c r="B10" s="1" t="s">
        <v>26</v>
      </c>
      <c r="C10" s="10">
        <f>'A remplir'!B33</f>
        <v>0</v>
      </c>
      <c r="D10" s="12">
        <f>C10/C$16</f>
        <v>0</v>
      </c>
      <c r="E10" s="1" t="s">
        <v>30</v>
      </c>
      <c r="F10" s="10">
        <f>'A remplir'!B70</f>
        <v>37920</v>
      </c>
      <c r="G10" s="12">
        <f>F10/F$16</f>
        <v>3.2607574037766998E-2</v>
      </c>
    </row>
    <row r="11" spans="1:7" x14ac:dyDescent="0.25">
      <c r="B11" s="1" t="s">
        <v>27</v>
      </c>
      <c r="C11" s="10">
        <f>'A remplir'!D33</f>
        <v>0</v>
      </c>
      <c r="D11" s="12">
        <f>C11/C$16</f>
        <v>0</v>
      </c>
      <c r="E11" s="1" t="s">
        <v>17</v>
      </c>
      <c r="F11" s="10">
        <f>'A remplir'!D88</f>
        <v>348876</v>
      </c>
      <c r="G11" s="12">
        <f>F11/F$16</f>
        <v>0.3</v>
      </c>
    </row>
    <row r="12" spans="1:7" x14ac:dyDescent="0.25">
      <c r="B12" s="1" t="s">
        <v>28</v>
      </c>
      <c r="C12" s="10">
        <f>'A remplir'!F33</f>
        <v>0</v>
      </c>
      <c r="D12" s="12">
        <f>C12/C$16</f>
        <v>0</v>
      </c>
      <c r="E12" s="1" t="s">
        <v>31</v>
      </c>
      <c r="F12" s="10">
        <f>'A remplir'!B74</f>
        <v>0</v>
      </c>
      <c r="G12" s="12">
        <f>F12/F$16</f>
        <v>0</v>
      </c>
    </row>
    <row r="13" spans="1:7" x14ac:dyDescent="0.25">
      <c r="B13" s="1" t="s">
        <v>6</v>
      </c>
      <c r="C13" s="10">
        <f>'A remplir'!H33</f>
        <v>1162920</v>
      </c>
      <c r="D13" s="12">
        <f>C13/C$16</f>
        <v>1</v>
      </c>
      <c r="E13" s="1" t="s">
        <v>81</v>
      </c>
      <c r="F13" s="10">
        <f>'A remplir'!D92</f>
        <v>0</v>
      </c>
      <c r="G13" s="12">
        <f>F13/F16</f>
        <v>0</v>
      </c>
    </row>
    <row r="14" spans="1:7" x14ac:dyDescent="0.25">
      <c r="B14" s="1" t="s">
        <v>7</v>
      </c>
      <c r="C14" s="10">
        <f>'A remplir'!J33</f>
        <v>0</v>
      </c>
      <c r="D14" s="12">
        <f>C14/C$16</f>
        <v>0</v>
      </c>
      <c r="E14" s="1" t="s">
        <v>32</v>
      </c>
      <c r="F14" s="10">
        <f>'A remplir'!B99</f>
        <v>776124</v>
      </c>
      <c r="G14" s="12">
        <f>F14/F$16</f>
        <v>0.66739242596223303</v>
      </c>
    </row>
    <row r="15" spans="1:7" x14ac:dyDescent="0.25">
      <c r="B15" s="40"/>
      <c r="C15" s="41"/>
      <c r="D15" s="42"/>
      <c r="E15" s="1" t="s">
        <v>33</v>
      </c>
      <c r="F15" s="10">
        <f>'A remplir'!B66</f>
        <v>0</v>
      </c>
      <c r="G15" s="12">
        <f>F15/F$16</f>
        <v>0</v>
      </c>
    </row>
    <row r="16" spans="1:7" x14ac:dyDescent="0.25">
      <c r="B16" s="11" t="s">
        <v>29</v>
      </c>
      <c r="C16" s="10">
        <f>SUM(C10:C14)</f>
        <v>1162920</v>
      </c>
      <c r="D16" s="12">
        <f>C16/C$16</f>
        <v>1</v>
      </c>
      <c r="E16" s="11" t="s">
        <v>29</v>
      </c>
      <c r="F16" s="10">
        <f>SUM(F10:F15)</f>
        <v>1162920</v>
      </c>
      <c r="G16" s="12">
        <f>F16/F$16</f>
        <v>1</v>
      </c>
    </row>
    <row r="17" spans="2:7" ht="15.75" thickBot="1" x14ac:dyDescent="0.3">
      <c r="B17" s="43"/>
      <c r="C17" s="16"/>
      <c r="D17" s="44"/>
      <c r="E17" s="43"/>
      <c r="F17" s="16"/>
      <c r="G17" s="44"/>
    </row>
    <row r="18" spans="2:7" ht="15.75" x14ac:dyDescent="0.25">
      <c r="B18" s="43"/>
      <c r="C18" s="45" t="str">
        <f>IF(C16&gt;F16,"Il manque :","")</f>
        <v/>
      </c>
      <c r="D18" s="46"/>
      <c r="E18" s="43"/>
      <c r="F18" s="16"/>
      <c r="G18" s="44"/>
    </row>
    <row r="19" spans="2:7" ht="15.75" x14ac:dyDescent="0.25">
      <c r="B19" s="43"/>
      <c r="C19" s="47" t="str">
        <f>IF(C16&gt;F16,C16-F16,"votre projet est financé")</f>
        <v>votre projet est financé</v>
      </c>
      <c r="D19" s="48"/>
      <c r="E19" s="43"/>
      <c r="F19" s="16"/>
      <c r="G19" s="44"/>
    </row>
    <row r="20" spans="2:7" ht="16.5" thickBot="1" x14ac:dyDescent="0.3">
      <c r="B20" s="43"/>
      <c r="C20" s="49" t="str">
        <f>IF(C16&gt;F16," pour financer votre projet","")</f>
        <v/>
      </c>
      <c r="D20" s="50"/>
      <c r="E20" s="43"/>
      <c r="F20" s="16"/>
      <c r="G20" s="44"/>
    </row>
    <row r="21" spans="2:7" ht="15.75" thickBot="1" x14ac:dyDescent="0.3">
      <c r="B21" s="43"/>
      <c r="C21" s="16"/>
      <c r="D21" s="44"/>
      <c r="E21" s="43"/>
      <c r="F21" s="16"/>
      <c r="G21" s="44"/>
    </row>
    <row r="22" spans="2:7" x14ac:dyDescent="0.25">
      <c r="B22" s="107" t="s">
        <v>126</v>
      </c>
      <c r="C22" s="99"/>
      <c r="D22" s="99"/>
      <c r="E22" s="100"/>
    </row>
    <row r="23" spans="2:7" ht="15.75" thickBot="1" x14ac:dyDescent="0.3">
      <c r="B23" s="104"/>
      <c r="C23" s="105"/>
      <c r="D23" s="105"/>
      <c r="E23" s="106"/>
    </row>
    <row r="28" spans="2:7" ht="23.25" x14ac:dyDescent="0.35">
      <c r="C28" s="26" t="s">
        <v>55</v>
      </c>
    </row>
    <row r="37" spans="2:10" x14ac:dyDescent="0.25">
      <c r="B37" s="8" t="s">
        <v>100</v>
      </c>
    </row>
    <row r="39" spans="2:10" x14ac:dyDescent="0.25">
      <c r="B39" s="15"/>
      <c r="C39" s="14" t="s">
        <v>34</v>
      </c>
      <c r="D39" s="1" t="s">
        <v>108</v>
      </c>
      <c r="E39" s="21"/>
      <c r="F39" s="21"/>
    </row>
    <row r="40" spans="2:10" x14ac:dyDescent="0.25">
      <c r="B40" s="4" t="s">
        <v>36</v>
      </c>
      <c r="C40" s="13">
        <f>'A remplir'!D53</f>
        <v>1733000</v>
      </c>
      <c r="D40" s="13">
        <f>'A remplir'!D53+'A remplir'!B66+'A remplir'!D92+'A remplir'!B99+'A remplir'!B59</f>
        <v>2509124</v>
      </c>
    </row>
    <row r="41" spans="2:10" x14ac:dyDescent="0.25">
      <c r="B41" s="1" t="s">
        <v>37</v>
      </c>
      <c r="C41" s="13">
        <f>'A remplir'!J53</f>
        <v>129000</v>
      </c>
      <c r="D41" s="13">
        <f>'A remplir'!J53+'A remplir'!H66+'A remplir'!J92+'A remplir'!H99+'A remplir'!F59</f>
        <v>168149.30136279477</v>
      </c>
      <c r="E41" t="s">
        <v>65</v>
      </c>
    </row>
    <row r="42" spans="2:10" x14ac:dyDescent="0.25">
      <c r="B42" s="1" t="s">
        <v>38</v>
      </c>
      <c r="C42" s="10">
        <f>C40/'A remplir'!F13</f>
        <v>1.4441666666666666</v>
      </c>
      <c r="D42" s="13">
        <f>D40/'A remplir'!F13</f>
        <v>2.0909366666666669</v>
      </c>
      <c r="E42" s="21"/>
    </row>
    <row r="43" spans="2:10" x14ac:dyDescent="0.25">
      <c r="B43" s="1" t="s">
        <v>101</v>
      </c>
      <c r="C43" s="22"/>
      <c r="D43" s="13">
        <f>('A remplir'!B99+'A remplir'!D92+'A remplir'!B66+'A remplir'!B70)/'A remplir'!F13</f>
        <v>0.67837000000000003</v>
      </c>
      <c r="E43" t="s">
        <v>66</v>
      </c>
      <c r="G43" s="21"/>
      <c r="J43" s="21"/>
    </row>
    <row r="44" spans="2:10" x14ac:dyDescent="0.25">
      <c r="B44" s="1" t="s">
        <v>115</v>
      </c>
      <c r="C44" s="29">
        <f>'A remplir'!D53/'A remplir'!F53</f>
        <v>24.757142857142856</v>
      </c>
      <c r="D44" s="29">
        <f>('A remplir'!D53+'A remplir'!B66+'A remplir'!D92+'A remplir'!B99+'A remplir'!B59)/('A remplir'!F53-E81)</f>
        <v>45.220456329820394</v>
      </c>
      <c r="E44" t="s">
        <v>67</v>
      </c>
      <c r="J44" s="21"/>
    </row>
    <row r="45" spans="2:10" x14ac:dyDescent="0.25">
      <c r="B45" s="1" t="s">
        <v>116</v>
      </c>
      <c r="C45" s="29">
        <f>'A remplir'!D53/'A remplir'!F53</f>
        <v>24.757142857142856</v>
      </c>
      <c r="D45" s="29">
        <f>('A remplir'!D53+'A remplir'!B66+'A remplir'!D92+'A remplir'!B99+'A remplir'!B59)/('A remplir'!F53-L81)</f>
        <v>45.220456329820394</v>
      </c>
      <c r="J45" s="21"/>
    </row>
    <row r="46" spans="2:10" ht="15.75" thickBot="1" x14ac:dyDescent="0.3">
      <c r="J46" s="21"/>
    </row>
    <row r="47" spans="2:10" x14ac:dyDescent="0.25">
      <c r="B47" s="98" t="s">
        <v>127</v>
      </c>
      <c r="C47" s="99"/>
      <c r="D47" s="99"/>
      <c r="E47" s="100"/>
    </row>
    <row r="48" spans="2:10" x14ac:dyDescent="0.25">
      <c r="B48" s="101"/>
      <c r="C48" s="102"/>
      <c r="D48" s="102"/>
      <c r="E48" s="103"/>
    </row>
    <row r="49" spans="2:10" x14ac:dyDescent="0.25">
      <c r="B49" s="101"/>
      <c r="C49" s="102"/>
      <c r="D49" s="102"/>
      <c r="E49" s="103"/>
    </row>
    <row r="50" spans="2:10" x14ac:dyDescent="0.25">
      <c r="B50" s="101"/>
      <c r="C50" s="102"/>
      <c r="D50" s="102"/>
      <c r="E50" s="103"/>
    </row>
    <row r="51" spans="2:10" ht="15.75" thickBot="1" x14ac:dyDescent="0.3">
      <c r="B51" s="104"/>
      <c r="C51" s="105"/>
      <c r="D51" s="105"/>
      <c r="E51" s="106"/>
    </row>
    <row r="55" spans="2:10" x14ac:dyDescent="0.25">
      <c r="B55" s="8" t="s">
        <v>95</v>
      </c>
    </row>
    <row r="57" spans="2:10" x14ac:dyDescent="0.25">
      <c r="B57" s="15"/>
      <c r="C57" s="14" t="s">
        <v>34</v>
      </c>
      <c r="D57" s="1" t="s">
        <v>35</v>
      </c>
      <c r="E57" s="21"/>
    </row>
    <row r="58" spans="2:10" x14ac:dyDescent="0.25">
      <c r="B58" s="4" t="s">
        <v>36</v>
      </c>
      <c r="C58" s="13" t="str">
        <f>IF('A remplir'!F13&lt;3000,'A remplir'!D40,"")</f>
        <v/>
      </c>
      <c r="D58" s="13" t="str">
        <f>IF('A remplir'!F13&lt;3000,'A remplir'!B99+'A remplir'!D92+'A remplir'!B66+'A remplir'!D40+'A remplir'!B46,"")</f>
        <v/>
      </c>
    </row>
    <row r="59" spans="2:10" x14ac:dyDescent="0.25">
      <c r="B59" s="1" t="s">
        <v>37</v>
      </c>
      <c r="C59" s="13" t="str">
        <f>IF('A remplir'!F13&lt;3000,'A remplir'!J40,"")</f>
        <v/>
      </c>
      <c r="D59" s="13" t="str">
        <f>IF('A remplir'!F13&lt;3000,'A remplir'!H66+'A remplir'!J40+'A remplir'!H99+'A remplir'!F46,"")</f>
        <v/>
      </c>
      <c r="E59" t="s">
        <v>65</v>
      </c>
    </row>
    <row r="60" spans="2:10" x14ac:dyDescent="0.25">
      <c r="B60" s="1" t="s">
        <v>38</v>
      </c>
      <c r="C60" s="10" t="str">
        <f>IF('A remplir'!F13&lt;3000,C58/'A remplir'!F13,"")</f>
        <v/>
      </c>
      <c r="D60" s="13" t="str">
        <f>IF('A remplir'!F13&lt;3000,D58/'A remplir'!F13,"")</f>
        <v/>
      </c>
      <c r="J60" s="21"/>
    </row>
    <row r="61" spans="2:10" x14ac:dyDescent="0.25">
      <c r="B61" s="1" t="s">
        <v>45</v>
      </c>
      <c r="C61" s="22"/>
      <c r="D61" s="13" t="str">
        <f>IF('A remplir'!F13&lt;3000,D43,"")</f>
        <v/>
      </c>
      <c r="E61" t="s">
        <v>66</v>
      </c>
      <c r="J61" s="21"/>
    </row>
    <row r="62" spans="2:10" x14ac:dyDescent="0.25">
      <c r="B62" s="1" t="s">
        <v>115</v>
      </c>
      <c r="C62" s="78" t="str">
        <f>IF('A remplir'!F13&lt;3000,(C58)/'A remplir'!F40,"")</f>
        <v/>
      </c>
      <c r="D62" s="78" t="str">
        <f>IF('A remplir'!F13&lt;3000,(D58)/('A remplir'!F40-E81),"")</f>
        <v/>
      </c>
      <c r="E62" t="s">
        <v>67</v>
      </c>
      <c r="J62" s="21"/>
    </row>
    <row r="63" spans="2:10" x14ac:dyDescent="0.25">
      <c r="B63" s="1" t="s">
        <v>117</v>
      </c>
      <c r="C63" s="78" t="str">
        <f>IF('A remplir'!F13&lt;3000,C58/'A remplir'!F40,"")</f>
        <v/>
      </c>
      <c r="D63" s="78" t="str">
        <f>IF('A remplir'!F13&lt;3000,(D58)/('A remplir'!F40-L81),"")</f>
        <v/>
      </c>
      <c r="J63" s="21"/>
    </row>
    <row r="64" spans="2:10" ht="15.75" thickBot="1" x14ac:dyDescent="0.3"/>
    <row r="65" spans="1:13" x14ac:dyDescent="0.25">
      <c r="B65" s="98" t="s">
        <v>127</v>
      </c>
      <c r="C65" s="99"/>
      <c r="D65" s="99"/>
      <c r="E65" s="100"/>
    </row>
    <row r="66" spans="1:13" x14ac:dyDescent="0.25">
      <c r="B66" s="101"/>
      <c r="C66" s="102"/>
      <c r="D66" s="102"/>
      <c r="E66" s="103"/>
    </row>
    <row r="67" spans="1:13" x14ac:dyDescent="0.25">
      <c r="B67" s="101"/>
      <c r="C67" s="102"/>
      <c r="D67" s="102"/>
      <c r="E67" s="103"/>
    </row>
    <row r="68" spans="1:13" x14ac:dyDescent="0.25">
      <c r="B68" s="101"/>
      <c r="C68" s="102"/>
      <c r="D68" s="102"/>
      <c r="E68" s="103"/>
    </row>
    <row r="69" spans="1:13" ht="15.75" thickBot="1" x14ac:dyDescent="0.3">
      <c r="B69" s="104"/>
      <c r="C69" s="105"/>
      <c r="D69" s="105"/>
      <c r="E69" s="106"/>
    </row>
    <row r="73" spans="1:13" ht="23.25" x14ac:dyDescent="0.35">
      <c r="C73" s="26" t="s">
        <v>56</v>
      </c>
    </row>
    <row r="74" spans="1:13" x14ac:dyDescent="0.25">
      <c r="C74" s="27" t="s">
        <v>57</v>
      </c>
    </row>
    <row r="77" spans="1:13" x14ac:dyDescent="0.25">
      <c r="B77" s="8" t="s">
        <v>48</v>
      </c>
      <c r="C77" s="21"/>
    </row>
    <row r="78" spans="1:13" x14ac:dyDescent="0.25">
      <c r="B78" s="21"/>
    </row>
    <row r="79" spans="1:13" x14ac:dyDescent="0.25">
      <c r="A79" s="60" t="s">
        <v>119</v>
      </c>
      <c r="B79" s="58"/>
      <c r="H79" s="60" t="s">
        <v>120</v>
      </c>
    </row>
    <row r="80" spans="1:13" ht="30" x14ac:dyDescent="0.25">
      <c r="A80" s="2" t="s">
        <v>40</v>
      </c>
      <c r="B80" s="2" t="s">
        <v>41</v>
      </c>
      <c r="C80" s="20" t="s">
        <v>37</v>
      </c>
      <c r="D80" s="2" t="s">
        <v>43</v>
      </c>
      <c r="E80" s="2" t="s">
        <v>46</v>
      </c>
      <c r="F80" s="19" t="s">
        <v>42</v>
      </c>
      <c r="H80" s="2" t="s">
        <v>40</v>
      </c>
      <c r="I80" s="2" t="s">
        <v>41</v>
      </c>
      <c r="J80" s="20" t="s">
        <v>37</v>
      </c>
      <c r="K80" s="2" t="s">
        <v>43</v>
      </c>
      <c r="L80" s="2" t="s">
        <v>46</v>
      </c>
      <c r="M80" s="19" t="s">
        <v>42</v>
      </c>
    </row>
    <row r="81" spans="1:13" x14ac:dyDescent="0.25">
      <c r="A81" s="1">
        <v>1</v>
      </c>
      <c r="B81" s="23">
        <f>'A remplir'!$B$21</f>
        <v>43599</v>
      </c>
      <c r="C81" s="24">
        <f>'A remplir'!H99</f>
        <v>39149.301362794758</v>
      </c>
      <c r="D81" s="24">
        <f>C81-E81</f>
        <v>24635.782562794757</v>
      </c>
      <c r="E81" s="24">
        <f>'A remplir'!B99*'A remplir'!J99</f>
        <v>14513.518800000002</v>
      </c>
      <c r="F81" s="13">
        <f>'A remplir'!B99-Résultat!D81</f>
        <v>751488.21743720525</v>
      </c>
      <c r="H81" s="1">
        <v>1</v>
      </c>
      <c r="I81" s="23">
        <f>'A remplir'!$B21</f>
        <v>43599</v>
      </c>
      <c r="J81" s="24">
        <f>IF(M81&gt;0,K81+L81,0)</f>
        <v>45558.478799999997</v>
      </c>
      <c r="K81" s="24">
        <f>IF(M81&gt;0,'A remplir'!B$99/'A remplir'!F$99,0)</f>
        <v>31044.959999999999</v>
      </c>
      <c r="L81" s="24">
        <f>'A remplir'!B99*'A remplir'!J99</f>
        <v>14513.518800000002</v>
      </c>
      <c r="M81" s="13">
        <f>'A remplir'!B99-('A remplir'!B$99/'A remplir'!F$99)</f>
        <v>745079.04</v>
      </c>
    </row>
    <row r="82" spans="1:13" x14ac:dyDescent="0.25">
      <c r="A82" s="1">
        <v>2</v>
      </c>
      <c r="B82" s="23">
        <f>DATE(YEAR(B81)+1,MONTH(B81),DAY(B81))</f>
        <v>43965</v>
      </c>
      <c r="C82" s="24">
        <f>IF(F81&gt;0.001,C81,0)</f>
        <v>39149.301362794758</v>
      </c>
      <c r="D82" s="24">
        <f t="shared" ref="D82:D110" si="0">C82-E82</f>
        <v>25096.471696719018</v>
      </c>
      <c r="E82" s="24">
        <f>F81*'A remplir'!J$99</f>
        <v>14052.829666075739</v>
      </c>
      <c r="F82" s="13">
        <f>IF(F81&gt;0.001,F81-D82,0)</f>
        <v>726391.74574048619</v>
      </c>
      <c r="H82" s="1">
        <v>2</v>
      </c>
      <c r="I82" s="23">
        <f>DATE(YEAR(I81)+1,MONTH(I81),DAY(I81))</f>
        <v>43965</v>
      </c>
      <c r="J82" s="24">
        <f t="shared" ref="J82:J130" si="1">IF(M82&gt;0,K82+L82,0)</f>
        <v>44977.938047999996</v>
      </c>
      <c r="K82" s="24">
        <f>IF(M82&gt;0,'A remplir'!B$99/'A remplir'!F$99,0)</f>
        <v>31044.959999999999</v>
      </c>
      <c r="L82" s="24">
        <f>M81*'A remplir'!J$99</f>
        <v>13932.978048000001</v>
      </c>
      <c r="M82" s="13">
        <f>IF(M81&gt;0.001,M81-('A remplir'!B$99/'A remplir'!F$99),0)</f>
        <v>714034.08000000007</v>
      </c>
    </row>
    <row r="83" spans="1:13" x14ac:dyDescent="0.25">
      <c r="A83" s="1">
        <v>3</v>
      </c>
      <c r="B83" s="23">
        <f t="shared" ref="B83:B130" si="2">DATE(YEAR(B82)+1,MONTH(B82),DAY(B82))</f>
        <v>44330</v>
      </c>
      <c r="C83" s="24">
        <f t="shared" ref="C83:C130" si="3">IF(F82&gt;0.001,C82,0)</f>
        <v>39149.301362794758</v>
      </c>
      <c r="D83" s="24">
        <f t="shared" si="0"/>
        <v>25565.775717447665</v>
      </c>
      <c r="E83" s="24">
        <f>F82*'A remplir'!J$99</f>
        <v>13583.525645347092</v>
      </c>
      <c r="F83" s="13">
        <f t="shared" ref="F83:F130" si="4">IF(F82&gt;0.001,F82-D83,0)</f>
        <v>700825.97002303856</v>
      </c>
      <c r="H83" s="1">
        <v>3</v>
      </c>
      <c r="I83" s="23">
        <f t="shared" ref="I83:I130" si="5">DATE(YEAR(I82)+1,MONTH(I82),DAY(I82))</f>
        <v>44330</v>
      </c>
      <c r="J83" s="24">
        <f t="shared" si="1"/>
        <v>44397.397296000003</v>
      </c>
      <c r="K83" s="24">
        <f>IF(M83&gt;0,'A remplir'!B$99/'A remplir'!F$99,0)</f>
        <v>31044.959999999999</v>
      </c>
      <c r="L83" s="24">
        <f>M82*'A remplir'!J$99</f>
        <v>13352.437296000002</v>
      </c>
      <c r="M83" s="13">
        <f>IF(M82&gt;0.001,M82-('A remplir'!B$99/'A remplir'!F$99),0)</f>
        <v>682989.12000000011</v>
      </c>
    </row>
    <row r="84" spans="1:13" x14ac:dyDescent="0.25">
      <c r="A84" s="1">
        <v>4</v>
      </c>
      <c r="B84" s="23">
        <f t="shared" si="2"/>
        <v>44695</v>
      </c>
      <c r="C84" s="24">
        <f t="shared" si="3"/>
        <v>39149.301362794758</v>
      </c>
      <c r="D84" s="24">
        <f t="shared" si="0"/>
        <v>26043.855723363937</v>
      </c>
      <c r="E84" s="24">
        <f>F83*'A remplir'!J$99</f>
        <v>13105.445639430822</v>
      </c>
      <c r="F84" s="13">
        <f t="shared" si="4"/>
        <v>674782.11429967463</v>
      </c>
      <c r="H84" s="1">
        <v>4</v>
      </c>
      <c r="I84" s="23">
        <f t="shared" si="5"/>
        <v>44695</v>
      </c>
      <c r="J84" s="24">
        <f t="shared" si="1"/>
        <v>43816.856544000002</v>
      </c>
      <c r="K84" s="24">
        <f>IF(M84&gt;0,'A remplir'!B$99/'A remplir'!F$99,0)</f>
        <v>31044.959999999999</v>
      </c>
      <c r="L84" s="24">
        <f>M83*'A remplir'!J$99</f>
        <v>12771.896544000003</v>
      </c>
      <c r="M84" s="13">
        <f>IF(M83&gt;0.001,M83-('A remplir'!B$99/'A remplir'!F$99),0)</f>
        <v>651944.16000000015</v>
      </c>
    </row>
    <row r="85" spans="1:13" x14ac:dyDescent="0.25">
      <c r="A85" s="1">
        <v>5</v>
      </c>
      <c r="B85" s="23">
        <f t="shared" si="2"/>
        <v>45060</v>
      </c>
      <c r="C85" s="24">
        <f t="shared" si="3"/>
        <v>39149.301362794758</v>
      </c>
      <c r="D85" s="24">
        <f t="shared" si="0"/>
        <v>26530.875825390842</v>
      </c>
      <c r="E85" s="24">
        <f>F84*'A remplir'!J$99</f>
        <v>12618.425537403917</v>
      </c>
      <c r="F85" s="13">
        <f t="shared" si="4"/>
        <v>648251.23847428383</v>
      </c>
      <c r="H85" s="1">
        <v>5</v>
      </c>
      <c r="I85" s="23">
        <f t="shared" si="5"/>
        <v>45060</v>
      </c>
      <c r="J85" s="24">
        <f t="shared" si="1"/>
        <v>43236.315792000001</v>
      </c>
      <c r="K85" s="24">
        <f>IF(M85&gt;0,'A remplir'!B$99/'A remplir'!F$99,0)</f>
        <v>31044.959999999999</v>
      </c>
      <c r="L85" s="24">
        <f>M84*'A remplir'!J$99</f>
        <v>12191.355792000004</v>
      </c>
      <c r="M85" s="13">
        <f>IF(M84&gt;0.001,M84-('A remplir'!B$99/'A remplir'!F$99),0)</f>
        <v>620899.20000000019</v>
      </c>
    </row>
    <row r="86" spans="1:13" x14ac:dyDescent="0.25">
      <c r="A86" s="1">
        <v>6</v>
      </c>
      <c r="B86" s="23">
        <f t="shared" si="2"/>
        <v>45426</v>
      </c>
      <c r="C86" s="24">
        <f t="shared" si="3"/>
        <v>39149.301362794758</v>
      </c>
      <c r="D86" s="24">
        <f t="shared" si="0"/>
        <v>27027.00320332565</v>
      </c>
      <c r="E86" s="24">
        <f>F85*'A remplir'!J$99</f>
        <v>12122.298159469108</v>
      </c>
      <c r="F86" s="13">
        <f t="shared" si="4"/>
        <v>621224.23527095816</v>
      </c>
      <c r="H86" s="1">
        <v>6</v>
      </c>
      <c r="I86" s="23">
        <f t="shared" si="5"/>
        <v>45426</v>
      </c>
      <c r="J86" s="24">
        <f t="shared" si="1"/>
        <v>42655.775040000008</v>
      </c>
      <c r="K86" s="24">
        <f>IF(M86&gt;0,'A remplir'!B$99/'A remplir'!F$99,0)</f>
        <v>31044.959999999999</v>
      </c>
      <c r="L86" s="24">
        <f>M85*'A remplir'!J$99</f>
        <v>11610.815040000005</v>
      </c>
      <c r="M86" s="13">
        <f>IF(M85&gt;0.001,M85-('A remplir'!B$99/'A remplir'!F$99),0)</f>
        <v>589854.24000000022</v>
      </c>
    </row>
    <row r="87" spans="1:13" x14ac:dyDescent="0.25">
      <c r="A87" s="1">
        <v>7</v>
      </c>
      <c r="B87" s="23">
        <f t="shared" si="2"/>
        <v>45791</v>
      </c>
      <c r="C87" s="24">
        <f t="shared" si="3"/>
        <v>39149.301362794758</v>
      </c>
      <c r="D87" s="24">
        <f t="shared" si="0"/>
        <v>27532.408163227839</v>
      </c>
      <c r="E87" s="24">
        <f>F86*'A remplir'!J$99</f>
        <v>11616.893199566919</v>
      </c>
      <c r="F87" s="13">
        <f t="shared" si="4"/>
        <v>593691.82710773032</v>
      </c>
      <c r="H87" s="1">
        <v>7</v>
      </c>
      <c r="I87" s="23">
        <f t="shared" si="5"/>
        <v>45791</v>
      </c>
      <c r="J87" s="24">
        <f t="shared" si="1"/>
        <v>42075.234288000007</v>
      </c>
      <c r="K87" s="24">
        <f>IF(M87&gt;0,'A remplir'!B$99/'A remplir'!F$99,0)</f>
        <v>31044.959999999999</v>
      </c>
      <c r="L87" s="24">
        <f>M86*'A remplir'!J$99</f>
        <v>11030.274288000004</v>
      </c>
      <c r="M87" s="13">
        <f>IF(M86&gt;0.001,M86-('A remplir'!B$99/'A remplir'!F$99),0)</f>
        <v>558809.28000000026</v>
      </c>
    </row>
    <row r="88" spans="1:13" x14ac:dyDescent="0.25">
      <c r="A88" s="1">
        <v>8</v>
      </c>
      <c r="B88" s="23">
        <f t="shared" si="2"/>
        <v>46156</v>
      </c>
      <c r="C88" s="24">
        <f t="shared" si="3"/>
        <v>39149.301362794758</v>
      </c>
      <c r="D88" s="24">
        <f t="shared" si="0"/>
        <v>28047.264195880201</v>
      </c>
      <c r="E88" s="24">
        <f>F87*'A remplir'!J$99</f>
        <v>11102.037166914557</v>
      </c>
      <c r="F88" s="13">
        <f t="shared" si="4"/>
        <v>565644.56291185017</v>
      </c>
      <c r="H88" s="1">
        <v>8</v>
      </c>
      <c r="I88" s="23">
        <f t="shared" si="5"/>
        <v>46156</v>
      </c>
      <c r="J88" s="24">
        <f t="shared" si="1"/>
        <v>41494.693536000006</v>
      </c>
      <c r="K88" s="24">
        <f>IF(M88&gt;0,'A remplir'!B$99/'A remplir'!F$99,0)</f>
        <v>31044.959999999999</v>
      </c>
      <c r="L88" s="24">
        <f>M87*'A remplir'!J$99</f>
        <v>10449.733536000005</v>
      </c>
      <c r="M88" s="13">
        <f>IF(M87&gt;0.001,M87-('A remplir'!B$99/'A remplir'!F$99),0)</f>
        <v>527764.3200000003</v>
      </c>
    </row>
    <row r="89" spans="1:13" x14ac:dyDescent="0.25">
      <c r="A89" s="1">
        <v>9</v>
      </c>
      <c r="B89" s="23">
        <f t="shared" si="2"/>
        <v>46521</v>
      </c>
      <c r="C89" s="24">
        <f t="shared" si="3"/>
        <v>39149.301362794758</v>
      </c>
      <c r="D89" s="24">
        <f t="shared" si="0"/>
        <v>28571.74803634316</v>
      </c>
      <c r="E89" s="24">
        <f>F88*'A remplir'!J$99</f>
        <v>10577.5533264516</v>
      </c>
      <c r="F89" s="13">
        <f t="shared" si="4"/>
        <v>537072.81487550703</v>
      </c>
      <c r="H89" s="1">
        <v>9</v>
      </c>
      <c r="I89" s="23">
        <f t="shared" si="5"/>
        <v>46521</v>
      </c>
      <c r="J89" s="24">
        <f t="shared" si="1"/>
        <v>40914.152784000005</v>
      </c>
      <c r="K89" s="24">
        <f>IF(M89&gt;0,'A remplir'!B$99/'A remplir'!F$99,0)</f>
        <v>31044.959999999999</v>
      </c>
      <c r="L89" s="24">
        <f>M88*'A remplir'!J$99</f>
        <v>9869.1927840000062</v>
      </c>
      <c r="M89" s="13">
        <f>IF(M88&gt;0.001,M88-('A remplir'!B$99/'A remplir'!F$99),0)</f>
        <v>496719.36000000028</v>
      </c>
    </row>
    <row r="90" spans="1:13" x14ac:dyDescent="0.25">
      <c r="A90" s="1">
        <v>10</v>
      </c>
      <c r="B90" s="23">
        <f t="shared" si="2"/>
        <v>46887</v>
      </c>
      <c r="C90" s="24">
        <f t="shared" si="3"/>
        <v>39149.301362794758</v>
      </c>
      <c r="D90" s="24">
        <f t="shared" si="0"/>
        <v>29106.039724622777</v>
      </c>
      <c r="E90" s="24">
        <f>F89*'A remplir'!J$99</f>
        <v>10043.261638171982</v>
      </c>
      <c r="F90" s="13">
        <f t="shared" si="4"/>
        <v>507966.77515088423</v>
      </c>
      <c r="H90" s="1">
        <v>10</v>
      </c>
      <c r="I90" s="23">
        <f t="shared" si="5"/>
        <v>46887</v>
      </c>
      <c r="J90" s="24">
        <f t="shared" si="1"/>
        <v>40333.612032000005</v>
      </c>
      <c r="K90" s="24">
        <f>IF(M90&gt;0,'A remplir'!B$99/'A remplir'!F$99,0)</f>
        <v>31044.959999999999</v>
      </c>
      <c r="L90" s="24">
        <f>M89*'A remplir'!J$99</f>
        <v>9288.6520320000054</v>
      </c>
      <c r="M90" s="13">
        <f>IF(M89&gt;0.001,M89-('A remplir'!B$99/'A remplir'!F$99),0)</f>
        <v>465674.40000000026</v>
      </c>
    </row>
    <row r="91" spans="1:13" x14ac:dyDescent="0.25">
      <c r="A91" s="1">
        <v>11</v>
      </c>
      <c r="B91" s="23">
        <f t="shared" si="2"/>
        <v>47252</v>
      </c>
      <c r="C91" s="24">
        <f t="shared" si="3"/>
        <v>39149.301362794758</v>
      </c>
      <c r="D91" s="24">
        <f t="shared" si="0"/>
        <v>29650.322667473221</v>
      </c>
      <c r="E91" s="24">
        <f>F90*'A remplir'!J$99</f>
        <v>9498.9786953215353</v>
      </c>
      <c r="F91" s="13">
        <f t="shared" si="4"/>
        <v>478316.45248341101</v>
      </c>
      <c r="H91" s="1">
        <v>11</v>
      </c>
      <c r="I91" s="23">
        <f t="shared" si="5"/>
        <v>47252</v>
      </c>
      <c r="J91" s="24">
        <f t="shared" si="1"/>
        <v>39753.071280000004</v>
      </c>
      <c r="K91" s="24">
        <f>IF(M91&gt;0,'A remplir'!B$99/'A remplir'!F$99,0)</f>
        <v>31044.959999999999</v>
      </c>
      <c r="L91" s="24">
        <f>M90*'A remplir'!J$99</f>
        <v>8708.1112800000046</v>
      </c>
      <c r="M91" s="13">
        <f>IF(M90&gt;0.001,M90-('A remplir'!B$99/'A remplir'!F$99),0)</f>
        <v>434629.44000000024</v>
      </c>
    </row>
    <row r="92" spans="1:13" x14ac:dyDescent="0.25">
      <c r="A92" s="1">
        <v>12</v>
      </c>
      <c r="B92" s="23">
        <f t="shared" si="2"/>
        <v>47617</v>
      </c>
      <c r="C92" s="24">
        <f t="shared" si="3"/>
        <v>39149.301362794758</v>
      </c>
      <c r="D92" s="24">
        <f t="shared" si="0"/>
        <v>30204.783701354972</v>
      </c>
      <c r="E92" s="24">
        <f>F91*'A remplir'!J$99</f>
        <v>8944.517661439786</v>
      </c>
      <c r="F92" s="13">
        <f t="shared" si="4"/>
        <v>448111.66878205602</v>
      </c>
      <c r="H92" s="1">
        <v>12</v>
      </c>
      <c r="I92" s="23">
        <f t="shared" si="5"/>
        <v>47617</v>
      </c>
      <c r="J92" s="24">
        <f t="shared" si="1"/>
        <v>39172.530528000003</v>
      </c>
      <c r="K92" s="24">
        <f>IF(M92&gt;0,'A remplir'!B$99/'A remplir'!F$99,0)</f>
        <v>31044.959999999999</v>
      </c>
      <c r="L92" s="24">
        <f>M91*'A remplir'!J$99</f>
        <v>8127.5705280000047</v>
      </c>
      <c r="M92" s="13">
        <f>IF(M91&gt;0.001,M91-('A remplir'!B$99/'A remplir'!F$99),0)</f>
        <v>403584.48000000021</v>
      </c>
    </row>
    <row r="93" spans="1:13" x14ac:dyDescent="0.25">
      <c r="A93" s="1">
        <v>13</v>
      </c>
      <c r="B93" s="23">
        <f t="shared" si="2"/>
        <v>47982</v>
      </c>
      <c r="C93" s="24">
        <f t="shared" si="3"/>
        <v>39149.301362794758</v>
      </c>
      <c r="D93" s="24">
        <f t="shared" si="0"/>
        <v>30769.613156570311</v>
      </c>
      <c r="E93" s="24">
        <f>F92*'A remplir'!J$99</f>
        <v>8379.6882062244476</v>
      </c>
      <c r="F93" s="13">
        <f t="shared" si="4"/>
        <v>417342.05562548572</v>
      </c>
      <c r="H93" s="1">
        <v>13</v>
      </c>
      <c r="I93" s="23">
        <f t="shared" si="5"/>
        <v>47982</v>
      </c>
      <c r="J93" s="24">
        <f t="shared" si="1"/>
        <v>38591.989776000002</v>
      </c>
      <c r="K93" s="24">
        <f>IF(M93&gt;0,'A remplir'!B$99/'A remplir'!F$99,0)</f>
        <v>31044.959999999999</v>
      </c>
      <c r="L93" s="24">
        <f>M92*'A remplir'!J$99</f>
        <v>7547.0297760000049</v>
      </c>
      <c r="M93" s="13">
        <f>IF(M92&gt;0.001,M92-('A remplir'!B$99/'A remplir'!F$99),0)</f>
        <v>372539.52000000019</v>
      </c>
    </row>
    <row r="94" spans="1:13" x14ac:dyDescent="0.25">
      <c r="A94" s="1">
        <v>14</v>
      </c>
      <c r="B94" s="23">
        <f t="shared" si="2"/>
        <v>48348</v>
      </c>
      <c r="C94" s="24">
        <f t="shared" si="3"/>
        <v>39149.301362794758</v>
      </c>
      <c r="D94" s="24">
        <f t="shared" si="0"/>
        <v>31345.004922598175</v>
      </c>
      <c r="E94" s="24">
        <f>F93*'A remplir'!J$99</f>
        <v>7804.2964401965837</v>
      </c>
      <c r="F94" s="13">
        <f t="shared" si="4"/>
        <v>385997.05070288753</v>
      </c>
      <c r="H94" s="1">
        <v>14</v>
      </c>
      <c r="I94" s="23">
        <f t="shared" si="5"/>
        <v>48348</v>
      </c>
      <c r="J94" s="24">
        <f t="shared" si="1"/>
        <v>38011.449024000001</v>
      </c>
      <c r="K94" s="24">
        <f>IF(M94&gt;0,'A remplir'!B$99/'A remplir'!F$99,0)</f>
        <v>31044.959999999999</v>
      </c>
      <c r="L94" s="24">
        <f>M93*'A remplir'!J$99</f>
        <v>6966.4890240000041</v>
      </c>
      <c r="M94" s="13">
        <f>IF(M93&gt;0.001,M93-('A remplir'!B$99/'A remplir'!F$99),0)</f>
        <v>341494.56000000017</v>
      </c>
    </row>
    <row r="95" spans="1:13" x14ac:dyDescent="0.25">
      <c r="A95" s="1">
        <v>15</v>
      </c>
      <c r="B95" s="23">
        <f t="shared" si="2"/>
        <v>48713</v>
      </c>
      <c r="C95" s="24">
        <f t="shared" si="3"/>
        <v>39149.301362794758</v>
      </c>
      <c r="D95" s="24">
        <f t="shared" si="0"/>
        <v>31931.15651465076</v>
      </c>
      <c r="E95" s="24">
        <f>F94*'A remplir'!J$99</f>
        <v>7218.1448481439975</v>
      </c>
      <c r="F95" s="13">
        <f t="shared" si="4"/>
        <v>354065.89418823679</v>
      </c>
      <c r="H95" s="1">
        <v>15</v>
      </c>
      <c r="I95" s="23">
        <f t="shared" si="5"/>
        <v>48713</v>
      </c>
      <c r="J95" s="24">
        <f t="shared" si="1"/>
        <v>37430.908272000001</v>
      </c>
      <c r="K95" s="24">
        <f>IF(M95&gt;0,'A remplir'!B$99/'A remplir'!F$99,0)</f>
        <v>31044.959999999999</v>
      </c>
      <c r="L95" s="24">
        <f>M94*'A remplir'!J$99</f>
        <v>6385.9482720000033</v>
      </c>
      <c r="M95" s="13">
        <f>IF(M94&gt;0.001,M94-('A remplir'!B$99/'A remplir'!F$99),0)</f>
        <v>310449.60000000015</v>
      </c>
    </row>
    <row r="96" spans="1:13" x14ac:dyDescent="0.25">
      <c r="A96" s="1">
        <v>16</v>
      </c>
      <c r="B96" s="23">
        <f t="shared" si="2"/>
        <v>49078</v>
      </c>
      <c r="C96" s="24">
        <f t="shared" si="3"/>
        <v>39149.301362794758</v>
      </c>
      <c r="D96" s="24">
        <f t="shared" si="0"/>
        <v>32528.269141474731</v>
      </c>
      <c r="E96" s="24">
        <f>F95*'A remplir'!J$99</f>
        <v>6621.0322213200288</v>
      </c>
      <c r="F96" s="13">
        <f t="shared" si="4"/>
        <v>321537.62504676206</v>
      </c>
      <c r="H96" s="1">
        <v>16</v>
      </c>
      <c r="I96" s="23">
        <f t="shared" si="5"/>
        <v>49078</v>
      </c>
      <c r="J96" s="24">
        <f t="shared" si="1"/>
        <v>36850.36752</v>
      </c>
      <c r="K96" s="24">
        <f>IF(M96&gt;0,'A remplir'!B$99/'A remplir'!F$99,0)</f>
        <v>31044.959999999999</v>
      </c>
      <c r="L96" s="24">
        <f>M95*'A remplir'!J$99</f>
        <v>5805.4075200000034</v>
      </c>
      <c r="M96" s="13">
        <f>IF(M95&gt;0.001,M95-('A remplir'!B$99/'A remplir'!F$99),0)</f>
        <v>279404.64000000013</v>
      </c>
    </row>
    <row r="97" spans="1:13" x14ac:dyDescent="0.25">
      <c r="A97" s="1">
        <v>17</v>
      </c>
      <c r="B97" s="23">
        <f t="shared" si="2"/>
        <v>49443</v>
      </c>
      <c r="C97" s="24">
        <f t="shared" si="3"/>
        <v>39149.301362794758</v>
      </c>
      <c r="D97" s="24">
        <f t="shared" si="0"/>
        <v>33136.547774420309</v>
      </c>
      <c r="E97" s="24">
        <f>F96*'A remplir'!J$99</f>
        <v>6012.7535883744513</v>
      </c>
      <c r="F97" s="13">
        <f t="shared" si="4"/>
        <v>288401.07727234176</v>
      </c>
      <c r="H97" s="1">
        <v>17</v>
      </c>
      <c r="I97" s="23">
        <f t="shared" si="5"/>
        <v>49443</v>
      </c>
      <c r="J97" s="24">
        <f t="shared" si="1"/>
        <v>36269.826767999999</v>
      </c>
      <c r="K97" s="24">
        <f>IF(M97&gt;0,'A remplir'!B$99/'A remplir'!F$99,0)</f>
        <v>31044.959999999999</v>
      </c>
      <c r="L97" s="24">
        <f>M96*'A remplir'!J$99</f>
        <v>5224.8667680000026</v>
      </c>
      <c r="M97" s="13">
        <f>IF(M96&gt;0.001,M96-('A remplir'!B$99/'A remplir'!F$99),0)</f>
        <v>248359.68000000014</v>
      </c>
    </row>
    <row r="98" spans="1:13" x14ac:dyDescent="0.25">
      <c r="A98" s="1">
        <v>18</v>
      </c>
      <c r="B98" s="23">
        <f t="shared" si="2"/>
        <v>49809</v>
      </c>
      <c r="C98" s="24">
        <f t="shared" si="3"/>
        <v>39149.301362794758</v>
      </c>
      <c r="D98" s="24">
        <f t="shared" si="0"/>
        <v>33756.201217801965</v>
      </c>
      <c r="E98" s="24">
        <f>F97*'A remplir'!J$99</f>
        <v>5393.1001449927917</v>
      </c>
      <c r="F98" s="13">
        <f t="shared" si="4"/>
        <v>254644.87605453981</v>
      </c>
      <c r="H98" s="1">
        <v>18</v>
      </c>
      <c r="I98" s="23">
        <f t="shared" si="5"/>
        <v>49809</v>
      </c>
      <c r="J98" s="24">
        <f t="shared" si="1"/>
        <v>35689.286015999998</v>
      </c>
      <c r="K98" s="24">
        <f>IF(M98&gt;0,'A remplir'!B$99/'A remplir'!F$99,0)</f>
        <v>31044.959999999999</v>
      </c>
      <c r="L98" s="24">
        <f>M97*'A remplir'!J$99</f>
        <v>4644.3260160000027</v>
      </c>
      <c r="M98" s="13">
        <f>IF(M97&gt;0.001,M97-('A remplir'!B$99/'A remplir'!F$99),0)</f>
        <v>217314.72000000015</v>
      </c>
    </row>
    <row r="99" spans="1:13" x14ac:dyDescent="0.25">
      <c r="A99" s="1">
        <v>19</v>
      </c>
      <c r="B99" s="23">
        <f t="shared" si="2"/>
        <v>50174</v>
      </c>
      <c r="C99" s="24">
        <f t="shared" si="3"/>
        <v>39149.301362794758</v>
      </c>
      <c r="D99" s="24">
        <f t="shared" si="0"/>
        <v>34387.442180574864</v>
      </c>
      <c r="E99" s="24">
        <f>F98*'A remplir'!J$99</f>
        <v>4761.859182219895</v>
      </c>
      <c r="F99" s="13">
        <f t="shared" si="4"/>
        <v>220257.43387396494</v>
      </c>
      <c r="H99" s="1">
        <v>19</v>
      </c>
      <c r="I99" s="23">
        <f t="shared" si="5"/>
        <v>50174</v>
      </c>
      <c r="J99" s="24">
        <f t="shared" si="1"/>
        <v>35108.745264000005</v>
      </c>
      <c r="K99" s="24">
        <f>IF(M99&gt;0,'A remplir'!B$99/'A remplir'!F$99,0)</f>
        <v>31044.959999999999</v>
      </c>
      <c r="L99" s="24">
        <f>M98*'A remplir'!J$99</f>
        <v>4063.7852640000028</v>
      </c>
      <c r="M99" s="13">
        <f>IF(M98&gt;0.001,M98-('A remplir'!B$99/'A remplir'!F$99),0)</f>
        <v>186269.76000000015</v>
      </c>
    </row>
    <row r="100" spans="1:13" x14ac:dyDescent="0.25">
      <c r="A100" s="1">
        <v>20</v>
      </c>
      <c r="B100" s="23">
        <f t="shared" si="2"/>
        <v>50539</v>
      </c>
      <c r="C100" s="24">
        <f t="shared" si="3"/>
        <v>39149.301362794758</v>
      </c>
      <c r="D100" s="24">
        <f t="shared" si="0"/>
        <v>35030.487349351613</v>
      </c>
      <c r="E100" s="24">
        <f>F99*'A remplir'!J$99</f>
        <v>4118.8140134431451</v>
      </c>
      <c r="F100" s="13">
        <f t="shared" si="4"/>
        <v>185226.94652461333</v>
      </c>
      <c r="H100" s="1">
        <v>20</v>
      </c>
      <c r="I100" s="23">
        <f t="shared" si="5"/>
        <v>50539</v>
      </c>
      <c r="J100" s="24">
        <f t="shared" si="1"/>
        <v>34528.204512000004</v>
      </c>
      <c r="K100" s="24">
        <f>IF(M100&gt;0,'A remplir'!B$99/'A remplir'!F$99,0)</f>
        <v>31044.959999999999</v>
      </c>
      <c r="L100" s="24">
        <f>M99*'A remplir'!J$99</f>
        <v>3483.2445120000029</v>
      </c>
      <c r="M100" s="13">
        <f>IF(M99&gt;0.001,M99-('A remplir'!B$99/'A remplir'!F$99),0)</f>
        <v>155224.80000000016</v>
      </c>
    </row>
    <row r="101" spans="1:13" x14ac:dyDescent="0.25">
      <c r="A101" s="1">
        <v>21</v>
      </c>
      <c r="B101" s="23">
        <f t="shared" si="2"/>
        <v>50904</v>
      </c>
      <c r="C101" s="24">
        <f t="shared" si="3"/>
        <v>39149.301362794758</v>
      </c>
      <c r="D101" s="24">
        <f t="shared" si="0"/>
        <v>35685.557462784491</v>
      </c>
      <c r="E101" s="24">
        <f>F100*'A remplir'!J$99</f>
        <v>3463.7439000102695</v>
      </c>
      <c r="F101" s="13">
        <f t="shared" si="4"/>
        <v>149541.38906182884</v>
      </c>
      <c r="H101" s="1">
        <v>21</v>
      </c>
      <c r="I101" s="23">
        <f t="shared" si="5"/>
        <v>50904</v>
      </c>
      <c r="J101" s="24">
        <f t="shared" si="1"/>
        <v>33947.663760000003</v>
      </c>
      <c r="K101" s="24">
        <f>IF(M101&gt;0,'A remplir'!B$99/'A remplir'!F$99,0)</f>
        <v>31044.959999999999</v>
      </c>
      <c r="L101" s="24">
        <f>M100*'A remplir'!J$99</f>
        <v>2902.7037600000031</v>
      </c>
      <c r="M101" s="13">
        <f>IF(M100&gt;0.001,M100-('A remplir'!B$99/'A remplir'!F$99),0)</f>
        <v>124179.84000000017</v>
      </c>
    </row>
    <row r="102" spans="1:13" x14ac:dyDescent="0.25">
      <c r="A102" s="1">
        <v>22</v>
      </c>
      <c r="B102" s="23">
        <f t="shared" si="2"/>
        <v>51270</v>
      </c>
      <c r="C102" s="24">
        <f t="shared" si="3"/>
        <v>39149.301362794758</v>
      </c>
      <c r="D102" s="24">
        <f t="shared" si="0"/>
        <v>36352.877387338558</v>
      </c>
      <c r="E102" s="24">
        <f>F101*'A remplir'!J$99</f>
        <v>2796.4239754561995</v>
      </c>
      <c r="F102" s="13">
        <f t="shared" si="4"/>
        <v>113188.51167449029</v>
      </c>
      <c r="H102" s="1">
        <v>22</v>
      </c>
      <c r="I102" s="23">
        <f t="shared" si="5"/>
        <v>51270</v>
      </c>
      <c r="J102" s="24">
        <f t="shared" si="1"/>
        <v>33367.123008000002</v>
      </c>
      <c r="K102" s="24">
        <f>IF(M102&gt;0,'A remplir'!B$99/'A remplir'!F$99,0)</f>
        <v>31044.959999999999</v>
      </c>
      <c r="L102" s="24">
        <f>M101*'A remplir'!J$99</f>
        <v>2322.1630080000032</v>
      </c>
      <c r="M102" s="13">
        <f>IF(M101&gt;0.001,M101-('A remplir'!B$99/'A remplir'!F$99),0)</f>
        <v>93134.880000000179</v>
      </c>
    </row>
    <row r="103" spans="1:13" x14ac:dyDescent="0.25">
      <c r="A103" s="1">
        <v>23</v>
      </c>
      <c r="B103" s="23">
        <f t="shared" si="2"/>
        <v>51635</v>
      </c>
      <c r="C103" s="24">
        <f t="shared" si="3"/>
        <v>39149.301362794758</v>
      </c>
      <c r="D103" s="24">
        <f t="shared" si="0"/>
        <v>37032.676194481792</v>
      </c>
      <c r="E103" s="24">
        <f>F102*'A remplir'!J$99</f>
        <v>2116.6251683129685</v>
      </c>
      <c r="F103" s="13">
        <f t="shared" si="4"/>
        <v>76155.835480008507</v>
      </c>
      <c r="H103" s="1">
        <v>23</v>
      </c>
      <c r="I103" s="23">
        <f t="shared" si="5"/>
        <v>51635</v>
      </c>
      <c r="J103" s="24">
        <f t="shared" si="1"/>
        <v>32786.582256000002</v>
      </c>
      <c r="K103" s="24">
        <f>IF(M103&gt;0,'A remplir'!B$99/'A remplir'!F$99,0)</f>
        <v>31044.959999999999</v>
      </c>
      <c r="L103" s="24">
        <f>M102*'A remplir'!J$99</f>
        <v>1741.6222560000035</v>
      </c>
      <c r="M103" s="13">
        <f>IF(M102&gt;0.001,M102-('A remplir'!B$99/'A remplir'!F$99),0)</f>
        <v>62089.92000000018</v>
      </c>
    </row>
    <row r="104" spans="1:13" x14ac:dyDescent="0.25">
      <c r="A104" s="1">
        <v>24</v>
      </c>
      <c r="B104" s="23">
        <f t="shared" si="2"/>
        <v>52000</v>
      </c>
      <c r="C104" s="24">
        <f t="shared" si="3"/>
        <v>39149.301362794758</v>
      </c>
      <c r="D104" s="24">
        <f t="shared" si="0"/>
        <v>37725.187239318599</v>
      </c>
      <c r="E104" s="24">
        <f>F103*'A remplir'!J$99</f>
        <v>1424.1141234761592</v>
      </c>
      <c r="F104" s="13">
        <f t="shared" si="4"/>
        <v>38430.648240689909</v>
      </c>
      <c r="H104" s="1">
        <v>24</v>
      </c>
      <c r="I104" s="23">
        <f t="shared" si="5"/>
        <v>52000</v>
      </c>
      <c r="J104" s="24">
        <f t="shared" si="1"/>
        <v>32206.041504000001</v>
      </c>
      <c r="K104" s="24">
        <f>IF(M104&gt;0,'A remplir'!B$99/'A remplir'!F$99,0)</f>
        <v>31044.959999999999</v>
      </c>
      <c r="L104" s="24">
        <f>M103*'A remplir'!J$99</f>
        <v>1161.0815040000034</v>
      </c>
      <c r="M104" s="13">
        <f>IF(M103&gt;0.001,M103-('A remplir'!B$99/'A remplir'!F$99),0)</f>
        <v>31044.960000000181</v>
      </c>
    </row>
    <row r="105" spans="1:13" x14ac:dyDescent="0.25">
      <c r="A105" s="1">
        <v>25</v>
      </c>
      <c r="B105" s="23">
        <f t="shared" si="2"/>
        <v>52365</v>
      </c>
      <c r="C105" s="24">
        <f t="shared" si="3"/>
        <v>39149.301362794758</v>
      </c>
      <c r="D105" s="24">
        <f t="shared" si="0"/>
        <v>38430.648240693859</v>
      </c>
      <c r="E105" s="24">
        <f>F104*'A remplir'!J$99</f>
        <v>718.65312210090133</v>
      </c>
      <c r="F105" s="13">
        <f t="shared" si="4"/>
        <v>-3.9508449845016003E-9</v>
      </c>
      <c r="H105" s="1">
        <v>25</v>
      </c>
      <c r="I105" s="23">
        <f t="shared" si="5"/>
        <v>52365</v>
      </c>
      <c r="J105" s="24">
        <f t="shared" si="1"/>
        <v>31625.500752000004</v>
      </c>
      <c r="K105" s="24">
        <f>IF(M105&gt;0,'A remplir'!B$99/'A remplir'!F$99,0)</f>
        <v>31044.959999999999</v>
      </c>
      <c r="L105" s="24">
        <f>M104*'A remplir'!J$99</f>
        <v>580.54075200000341</v>
      </c>
      <c r="M105" s="13">
        <f>IF(M104&gt;0.001,M104-('A remplir'!B$99/'A remplir'!F$99),0)</f>
        <v>1.8189894035458565E-10</v>
      </c>
    </row>
    <row r="106" spans="1:13" x14ac:dyDescent="0.25">
      <c r="A106" s="1">
        <v>26</v>
      </c>
      <c r="B106" s="23">
        <f t="shared" si="2"/>
        <v>52731</v>
      </c>
      <c r="C106" s="24">
        <f t="shared" si="3"/>
        <v>0</v>
      </c>
      <c r="D106" s="24">
        <f t="shared" si="0"/>
        <v>7.3880801210179936E-11</v>
      </c>
      <c r="E106" s="24">
        <f>F105*'A remplir'!J$99</f>
        <v>-7.3880801210179936E-11</v>
      </c>
      <c r="F106" s="13">
        <f t="shared" si="4"/>
        <v>0</v>
      </c>
      <c r="H106" s="1">
        <v>26</v>
      </c>
      <c r="I106" s="23">
        <f t="shared" si="5"/>
        <v>52731</v>
      </c>
      <c r="J106" s="24">
        <f t="shared" si="1"/>
        <v>0</v>
      </c>
      <c r="K106" s="24">
        <f>IF(M106&gt;0,'A remplir'!B$99/'A remplir'!F$99,0)</f>
        <v>0</v>
      </c>
      <c r="L106" s="24">
        <f>M105*'A remplir'!J$99</f>
        <v>3.4015101846307518E-12</v>
      </c>
      <c r="M106" s="13">
        <f>IF(M105&gt;0.001,M105-('A remplir'!B$99/'A remplir'!F$99),0)</f>
        <v>0</v>
      </c>
    </row>
    <row r="107" spans="1:13" x14ac:dyDescent="0.25">
      <c r="A107" s="1">
        <v>27</v>
      </c>
      <c r="B107" s="23">
        <f t="shared" si="2"/>
        <v>53096</v>
      </c>
      <c r="C107" s="24">
        <f t="shared" si="3"/>
        <v>0</v>
      </c>
      <c r="D107" s="24">
        <f t="shared" si="0"/>
        <v>0</v>
      </c>
      <c r="E107" s="24">
        <f>F106*'A remplir'!J$99</f>
        <v>0</v>
      </c>
      <c r="F107" s="13">
        <f t="shared" si="4"/>
        <v>0</v>
      </c>
      <c r="H107" s="1">
        <v>27</v>
      </c>
      <c r="I107" s="23">
        <f t="shared" si="5"/>
        <v>53096</v>
      </c>
      <c r="J107" s="24">
        <f t="shared" si="1"/>
        <v>0</v>
      </c>
      <c r="K107" s="24">
        <f>IF(M107&gt;0,'A remplir'!B$99/'A remplir'!F$99,0)</f>
        <v>0</v>
      </c>
      <c r="L107" s="24">
        <f>M106*'A remplir'!J$99</f>
        <v>0</v>
      </c>
      <c r="M107" s="13">
        <f>IF(M106&gt;0.001,M106-('A remplir'!B$99/'A remplir'!F$99),0)</f>
        <v>0</v>
      </c>
    </row>
    <row r="108" spans="1:13" x14ac:dyDescent="0.25">
      <c r="A108" s="1">
        <v>28</v>
      </c>
      <c r="B108" s="23">
        <f t="shared" si="2"/>
        <v>53461</v>
      </c>
      <c r="C108" s="24">
        <f t="shared" si="3"/>
        <v>0</v>
      </c>
      <c r="D108" s="24">
        <f t="shared" si="0"/>
        <v>0</v>
      </c>
      <c r="E108" s="24">
        <f>F107*'A remplir'!J$99</f>
        <v>0</v>
      </c>
      <c r="F108" s="13">
        <f t="shared" si="4"/>
        <v>0</v>
      </c>
      <c r="H108" s="1">
        <v>28</v>
      </c>
      <c r="I108" s="23">
        <f t="shared" si="5"/>
        <v>53461</v>
      </c>
      <c r="J108" s="24">
        <f t="shared" si="1"/>
        <v>0</v>
      </c>
      <c r="K108" s="24">
        <f>IF(M108&gt;0,'A remplir'!B$99/'A remplir'!F$99,0)</f>
        <v>0</v>
      </c>
      <c r="L108" s="24">
        <f>M107*'A remplir'!J$99</f>
        <v>0</v>
      </c>
      <c r="M108" s="13">
        <f>IF(M107&gt;0.001,M107-('A remplir'!B$99/'A remplir'!F$99),0)</f>
        <v>0</v>
      </c>
    </row>
    <row r="109" spans="1:13" x14ac:dyDescent="0.25">
      <c r="A109" s="1">
        <v>29</v>
      </c>
      <c r="B109" s="23">
        <f t="shared" si="2"/>
        <v>53826</v>
      </c>
      <c r="C109" s="24">
        <f t="shared" si="3"/>
        <v>0</v>
      </c>
      <c r="D109" s="24">
        <f t="shared" si="0"/>
        <v>0</v>
      </c>
      <c r="E109" s="24">
        <f>F108*'A remplir'!J$99</f>
        <v>0</v>
      </c>
      <c r="F109" s="13">
        <f t="shared" si="4"/>
        <v>0</v>
      </c>
      <c r="H109" s="1">
        <v>29</v>
      </c>
      <c r="I109" s="23">
        <f t="shared" si="5"/>
        <v>53826</v>
      </c>
      <c r="J109" s="24">
        <f t="shared" si="1"/>
        <v>0</v>
      </c>
      <c r="K109" s="24">
        <f>IF(M109&gt;0,'A remplir'!B$99/'A remplir'!F$99,0)</f>
        <v>0</v>
      </c>
      <c r="L109" s="24">
        <f>M108*'A remplir'!J$99</f>
        <v>0</v>
      </c>
      <c r="M109" s="13">
        <f>IF(M108&gt;0.001,M108-('A remplir'!B$99/'A remplir'!F$99),0)</f>
        <v>0</v>
      </c>
    </row>
    <row r="110" spans="1:13" x14ac:dyDescent="0.25">
      <c r="A110" s="1">
        <v>30</v>
      </c>
      <c r="B110" s="23">
        <f t="shared" si="2"/>
        <v>54192</v>
      </c>
      <c r="C110" s="24">
        <f t="shared" si="3"/>
        <v>0</v>
      </c>
      <c r="D110" s="24">
        <f t="shared" si="0"/>
        <v>0</v>
      </c>
      <c r="E110" s="24">
        <f>F109*'A remplir'!J$99</f>
        <v>0</v>
      </c>
      <c r="F110" s="13">
        <f t="shared" si="4"/>
        <v>0</v>
      </c>
      <c r="H110" s="1">
        <v>30</v>
      </c>
      <c r="I110" s="23">
        <f t="shared" si="5"/>
        <v>54192</v>
      </c>
      <c r="J110" s="24">
        <f t="shared" si="1"/>
        <v>0</v>
      </c>
      <c r="K110" s="24">
        <f>IF(M110&gt;0,'A remplir'!B$99/'A remplir'!F$99,0)</f>
        <v>0</v>
      </c>
      <c r="L110" s="24">
        <f>M109*'A remplir'!J$99</f>
        <v>0</v>
      </c>
      <c r="M110" s="13">
        <f>IF(M109&gt;0.001,M109-('A remplir'!B$99/'A remplir'!F$99),0)</f>
        <v>0</v>
      </c>
    </row>
    <row r="111" spans="1:13" x14ac:dyDescent="0.25">
      <c r="A111" s="1">
        <v>31</v>
      </c>
      <c r="B111" s="23">
        <f t="shared" si="2"/>
        <v>54557</v>
      </c>
      <c r="C111" s="24">
        <f t="shared" si="3"/>
        <v>0</v>
      </c>
      <c r="D111" s="24">
        <f t="shared" ref="D111:D130" si="6">C111-E111</f>
        <v>0</v>
      </c>
      <c r="E111" s="24">
        <f>F110*'A remplir'!J$99</f>
        <v>0</v>
      </c>
      <c r="F111" s="13">
        <f t="shared" si="4"/>
        <v>0</v>
      </c>
      <c r="H111" s="1">
        <v>31</v>
      </c>
      <c r="I111" s="23">
        <f t="shared" si="5"/>
        <v>54557</v>
      </c>
      <c r="J111" s="24">
        <f t="shared" si="1"/>
        <v>0</v>
      </c>
      <c r="K111" s="24">
        <f>IF(M111&gt;0,'A remplir'!B$99/'A remplir'!F$99,0)</f>
        <v>0</v>
      </c>
      <c r="L111" s="24">
        <f>M110*'A remplir'!J$99</f>
        <v>0</v>
      </c>
      <c r="M111" s="13">
        <f>IF(M110&gt;0.001,M110-('A remplir'!B$99/'A remplir'!F$99),0)</f>
        <v>0</v>
      </c>
    </row>
    <row r="112" spans="1:13" x14ac:dyDescent="0.25">
      <c r="A112" s="1">
        <v>32</v>
      </c>
      <c r="B112" s="23">
        <f t="shared" si="2"/>
        <v>54922</v>
      </c>
      <c r="C112" s="24">
        <f t="shared" si="3"/>
        <v>0</v>
      </c>
      <c r="D112" s="24">
        <f t="shared" si="6"/>
        <v>0</v>
      </c>
      <c r="E112" s="24">
        <f>F111*'A remplir'!J$99</f>
        <v>0</v>
      </c>
      <c r="F112" s="13">
        <f t="shared" si="4"/>
        <v>0</v>
      </c>
      <c r="H112" s="1">
        <v>32</v>
      </c>
      <c r="I112" s="23">
        <f t="shared" si="5"/>
        <v>54922</v>
      </c>
      <c r="J112" s="24">
        <f t="shared" si="1"/>
        <v>0</v>
      </c>
      <c r="K112" s="24">
        <f>IF(M112&gt;0,'A remplir'!B$99/'A remplir'!F$99,0)</f>
        <v>0</v>
      </c>
      <c r="L112" s="24">
        <f>M111*'A remplir'!J$99</f>
        <v>0</v>
      </c>
      <c r="M112" s="13">
        <f>IF(M111&gt;0.001,M111-('A remplir'!B$99/'A remplir'!F$99),0)</f>
        <v>0</v>
      </c>
    </row>
    <row r="113" spans="1:13" x14ac:dyDescent="0.25">
      <c r="A113" s="1">
        <v>33</v>
      </c>
      <c r="B113" s="23">
        <f t="shared" si="2"/>
        <v>55287</v>
      </c>
      <c r="C113" s="24">
        <f t="shared" si="3"/>
        <v>0</v>
      </c>
      <c r="D113" s="24">
        <f t="shared" si="6"/>
        <v>0</v>
      </c>
      <c r="E113" s="24">
        <f>F112*'A remplir'!J$99</f>
        <v>0</v>
      </c>
      <c r="F113" s="13">
        <f t="shared" si="4"/>
        <v>0</v>
      </c>
      <c r="H113" s="1">
        <v>33</v>
      </c>
      <c r="I113" s="23">
        <f t="shared" si="5"/>
        <v>55287</v>
      </c>
      <c r="J113" s="24">
        <f t="shared" si="1"/>
        <v>0</v>
      </c>
      <c r="K113" s="24">
        <f>IF(M113&gt;0,'A remplir'!B$99/'A remplir'!F$99,0)</f>
        <v>0</v>
      </c>
      <c r="L113" s="24">
        <f>M112*'A remplir'!J$99</f>
        <v>0</v>
      </c>
      <c r="M113" s="13">
        <f>IF(M112&gt;0.001,M112-('A remplir'!B$99/'A remplir'!F$99),0)</f>
        <v>0</v>
      </c>
    </row>
    <row r="114" spans="1:13" x14ac:dyDescent="0.25">
      <c r="A114" s="1">
        <v>34</v>
      </c>
      <c r="B114" s="23">
        <f t="shared" si="2"/>
        <v>55653</v>
      </c>
      <c r="C114" s="24">
        <f t="shared" si="3"/>
        <v>0</v>
      </c>
      <c r="D114" s="24">
        <f t="shared" si="6"/>
        <v>0</v>
      </c>
      <c r="E114" s="24">
        <f>F113*'A remplir'!J$99</f>
        <v>0</v>
      </c>
      <c r="F114" s="13">
        <f t="shared" si="4"/>
        <v>0</v>
      </c>
      <c r="H114" s="1">
        <v>34</v>
      </c>
      <c r="I114" s="23">
        <f t="shared" si="5"/>
        <v>55653</v>
      </c>
      <c r="J114" s="24">
        <f t="shared" si="1"/>
        <v>0</v>
      </c>
      <c r="K114" s="24">
        <f>IF(M114&gt;0,'A remplir'!B$99/'A remplir'!F$99,0)</f>
        <v>0</v>
      </c>
      <c r="L114" s="24">
        <f>M113*'A remplir'!J$99</f>
        <v>0</v>
      </c>
      <c r="M114" s="13">
        <f>IF(M113&gt;0.001,M113-('A remplir'!B$99/'A remplir'!F$99),0)</f>
        <v>0</v>
      </c>
    </row>
    <row r="115" spans="1:13" x14ac:dyDescent="0.25">
      <c r="A115" s="1">
        <v>35</v>
      </c>
      <c r="B115" s="23">
        <f t="shared" si="2"/>
        <v>56018</v>
      </c>
      <c r="C115" s="24">
        <f t="shared" si="3"/>
        <v>0</v>
      </c>
      <c r="D115" s="24">
        <f t="shared" si="6"/>
        <v>0</v>
      </c>
      <c r="E115" s="24">
        <f>F114*'A remplir'!J$99</f>
        <v>0</v>
      </c>
      <c r="F115" s="13">
        <f t="shared" si="4"/>
        <v>0</v>
      </c>
      <c r="H115" s="1">
        <v>35</v>
      </c>
      <c r="I115" s="23">
        <f t="shared" si="5"/>
        <v>56018</v>
      </c>
      <c r="J115" s="24">
        <f t="shared" si="1"/>
        <v>0</v>
      </c>
      <c r="K115" s="24">
        <f>IF(M115&gt;0,'A remplir'!B$99/'A remplir'!F$99,0)</f>
        <v>0</v>
      </c>
      <c r="L115" s="24">
        <f>M114*'A remplir'!J$99</f>
        <v>0</v>
      </c>
      <c r="M115" s="13">
        <f>IF(M114&gt;0.001,M114-('A remplir'!B$99/'A remplir'!F$99),0)</f>
        <v>0</v>
      </c>
    </row>
    <row r="116" spans="1:13" x14ac:dyDescent="0.25">
      <c r="A116" s="1">
        <v>36</v>
      </c>
      <c r="B116" s="23">
        <f t="shared" si="2"/>
        <v>56383</v>
      </c>
      <c r="C116" s="24">
        <f t="shared" si="3"/>
        <v>0</v>
      </c>
      <c r="D116" s="24">
        <f t="shared" si="6"/>
        <v>0</v>
      </c>
      <c r="E116" s="24">
        <f>F115*'A remplir'!J$99</f>
        <v>0</v>
      </c>
      <c r="F116" s="13">
        <f t="shared" si="4"/>
        <v>0</v>
      </c>
      <c r="H116" s="1">
        <v>36</v>
      </c>
      <c r="I116" s="23">
        <f t="shared" si="5"/>
        <v>56383</v>
      </c>
      <c r="J116" s="24">
        <f t="shared" si="1"/>
        <v>0</v>
      </c>
      <c r="K116" s="24">
        <f>IF(M116&gt;0,'A remplir'!B$99/'A remplir'!F$99,0)</f>
        <v>0</v>
      </c>
      <c r="L116" s="24">
        <f>M115*'A remplir'!J$99</f>
        <v>0</v>
      </c>
      <c r="M116" s="13">
        <f>IF(M115&gt;0.001,M115-('A remplir'!B$99/'A remplir'!F$99),0)</f>
        <v>0</v>
      </c>
    </row>
    <row r="117" spans="1:13" x14ac:dyDescent="0.25">
      <c r="A117" s="1">
        <v>37</v>
      </c>
      <c r="B117" s="23">
        <f t="shared" si="2"/>
        <v>56748</v>
      </c>
      <c r="C117" s="24">
        <f t="shared" si="3"/>
        <v>0</v>
      </c>
      <c r="D117" s="24">
        <f t="shared" si="6"/>
        <v>0</v>
      </c>
      <c r="E117" s="24">
        <f>F116*'A remplir'!J$99</f>
        <v>0</v>
      </c>
      <c r="F117" s="13">
        <f t="shared" si="4"/>
        <v>0</v>
      </c>
      <c r="H117" s="1">
        <v>37</v>
      </c>
      <c r="I117" s="23">
        <f t="shared" si="5"/>
        <v>56748</v>
      </c>
      <c r="J117" s="24">
        <f t="shared" si="1"/>
        <v>0</v>
      </c>
      <c r="K117" s="24">
        <f>IF(M117&gt;0,'A remplir'!B$99/'A remplir'!F$99,0)</f>
        <v>0</v>
      </c>
      <c r="L117" s="24">
        <f>M116*'A remplir'!J$99</f>
        <v>0</v>
      </c>
      <c r="M117" s="13">
        <f>IF(M116&gt;0.001,M116-('A remplir'!B$99/'A remplir'!F$99),0)</f>
        <v>0</v>
      </c>
    </row>
    <row r="118" spans="1:13" x14ac:dyDescent="0.25">
      <c r="A118" s="1">
        <v>38</v>
      </c>
      <c r="B118" s="23">
        <f t="shared" si="2"/>
        <v>57114</v>
      </c>
      <c r="C118" s="24">
        <f t="shared" si="3"/>
        <v>0</v>
      </c>
      <c r="D118" s="24">
        <f t="shared" si="6"/>
        <v>0</v>
      </c>
      <c r="E118" s="24">
        <f>F117*'A remplir'!J$99</f>
        <v>0</v>
      </c>
      <c r="F118" s="13">
        <f t="shared" si="4"/>
        <v>0</v>
      </c>
      <c r="H118" s="1">
        <v>38</v>
      </c>
      <c r="I118" s="23">
        <f t="shared" si="5"/>
        <v>57114</v>
      </c>
      <c r="J118" s="24">
        <f t="shared" si="1"/>
        <v>0</v>
      </c>
      <c r="K118" s="24">
        <f>IF(M118&gt;0,'A remplir'!B$99/'A remplir'!F$99,0)</f>
        <v>0</v>
      </c>
      <c r="L118" s="24">
        <f>M117*'A remplir'!J$99</f>
        <v>0</v>
      </c>
      <c r="M118" s="13">
        <f>IF(M117&gt;0.001,M117-('A remplir'!B$99/'A remplir'!F$99),0)</f>
        <v>0</v>
      </c>
    </row>
    <row r="119" spans="1:13" x14ac:dyDescent="0.25">
      <c r="A119" s="1">
        <v>39</v>
      </c>
      <c r="B119" s="23">
        <f t="shared" si="2"/>
        <v>57479</v>
      </c>
      <c r="C119" s="24">
        <f t="shared" si="3"/>
        <v>0</v>
      </c>
      <c r="D119" s="24">
        <f t="shared" si="6"/>
        <v>0</v>
      </c>
      <c r="E119" s="24">
        <f>F118*'A remplir'!J$99</f>
        <v>0</v>
      </c>
      <c r="F119" s="13">
        <f t="shared" si="4"/>
        <v>0</v>
      </c>
      <c r="H119" s="1">
        <v>39</v>
      </c>
      <c r="I119" s="23">
        <f t="shared" si="5"/>
        <v>57479</v>
      </c>
      <c r="J119" s="24">
        <f t="shared" si="1"/>
        <v>0</v>
      </c>
      <c r="K119" s="24">
        <f>IF(M119&gt;0,'A remplir'!B$99/'A remplir'!F$99,0)</f>
        <v>0</v>
      </c>
      <c r="L119" s="24">
        <f>M118*'A remplir'!J$99</f>
        <v>0</v>
      </c>
      <c r="M119" s="13">
        <f>IF(M118&gt;0.001,M118-('A remplir'!B$99/'A remplir'!F$99),0)</f>
        <v>0</v>
      </c>
    </row>
    <row r="120" spans="1:13" x14ac:dyDescent="0.25">
      <c r="A120" s="1">
        <v>40</v>
      </c>
      <c r="B120" s="23">
        <f t="shared" si="2"/>
        <v>57844</v>
      </c>
      <c r="C120" s="24">
        <f t="shared" si="3"/>
        <v>0</v>
      </c>
      <c r="D120" s="24">
        <f t="shared" si="6"/>
        <v>0</v>
      </c>
      <c r="E120" s="24">
        <f>F119*'A remplir'!J$99</f>
        <v>0</v>
      </c>
      <c r="F120" s="13">
        <f t="shared" si="4"/>
        <v>0</v>
      </c>
      <c r="H120" s="1">
        <v>40</v>
      </c>
      <c r="I120" s="23">
        <f t="shared" si="5"/>
        <v>57844</v>
      </c>
      <c r="J120" s="24">
        <f t="shared" si="1"/>
        <v>0</v>
      </c>
      <c r="K120" s="24">
        <f>IF(M120&gt;0,'A remplir'!B$99/'A remplir'!F$99,0)</f>
        <v>0</v>
      </c>
      <c r="L120" s="24">
        <f>M119*'A remplir'!J$99</f>
        <v>0</v>
      </c>
      <c r="M120" s="13">
        <f>IF(M119&gt;0.001,M119-('A remplir'!B$99/'A remplir'!F$99),0)</f>
        <v>0</v>
      </c>
    </row>
    <row r="121" spans="1:13" x14ac:dyDescent="0.25">
      <c r="A121" s="1">
        <v>41</v>
      </c>
      <c r="B121" s="23">
        <f t="shared" si="2"/>
        <v>58209</v>
      </c>
      <c r="C121" s="24">
        <f t="shared" si="3"/>
        <v>0</v>
      </c>
      <c r="D121" s="24">
        <f t="shared" si="6"/>
        <v>0</v>
      </c>
      <c r="E121" s="24">
        <f>F120*'A remplir'!J$99</f>
        <v>0</v>
      </c>
      <c r="F121" s="13">
        <f t="shared" si="4"/>
        <v>0</v>
      </c>
      <c r="H121" s="1">
        <v>41</v>
      </c>
      <c r="I121" s="23">
        <f t="shared" si="5"/>
        <v>58209</v>
      </c>
      <c r="J121" s="24">
        <f t="shared" si="1"/>
        <v>0</v>
      </c>
      <c r="K121" s="24">
        <f>IF(M121&gt;0,'A remplir'!B$99/'A remplir'!F$99,0)</f>
        <v>0</v>
      </c>
      <c r="L121" s="24">
        <f>M120*'A remplir'!J$99</f>
        <v>0</v>
      </c>
      <c r="M121" s="13">
        <f>IF(M120&gt;0.001,M120-('A remplir'!B$99/'A remplir'!F$99),0)</f>
        <v>0</v>
      </c>
    </row>
    <row r="122" spans="1:13" x14ac:dyDescent="0.25">
      <c r="A122" s="1">
        <v>42</v>
      </c>
      <c r="B122" s="23">
        <f t="shared" si="2"/>
        <v>58575</v>
      </c>
      <c r="C122" s="24">
        <f t="shared" si="3"/>
        <v>0</v>
      </c>
      <c r="D122" s="24">
        <f t="shared" si="6"/>
        <v>0</v>
      </c>
      <c r="E122" s="24">
        <f>F121*'A remplir'!J$99</f>
        <v>0</v>
      </c>
      <c r="F122" s="13">
        <f t="shared" si="4"/>
        <v>0</v>
      </c>
      <c r="H122" s="1">
        <v>42</v>
      </c>
      <c r="I122" s="23">
        <f t="shared" si="5"/>
        <v>58575</v>
      </c>
      <c r="J122" s="24">
        <f t="shared" si="1"/>
        <v>0</v>
      </c>
      <c r="K122" s="24">
        <f>IF(M122&gt;0,'A remplir'!B$99/'A remplir'!F$99,0)</f>
        <v>0</v>
      </c>
      <c r="L122" s="24">
        <f>M121*'A remplir'!J$99</f>
        <v>0</v>
      </c>
      <c r="M122" s="13">
        <f>IF(M121&gt;0.001,M121-('A remplir'!B$99/'A remplir'!F$99),0)</f>
        <v>0</v>
      </c>
    </row>
    <row r="123" spans="1:13" x14ac:dyDescent="0.25">
      <c r="A123" s="1">
        <v>43</v>
      </c>
      <c r="B123" s="23">
        <f t="shared" si="2"/>
        <v>58940</v>
      </c>
      <c r="C123" s="24">
        <f t="shared" si="3"/>
        <v>0</v>
      </c>
      <c r="D123" s="24">
        <f t="shared" si="6"/>
        <v>0</v>
      </c>
      <c r="E123" s="24">
        <f>F122*'A remplir'!J$99</f>
        <v>0</v>
      </c>
      <c r="F123" s="13">
        <f t="shared" si="4"/>
        <v>0</v>
      </c>
      <c r="H123" s="1">
        <v>43</v>
      </c>
      <c r="I123" s="23">
        <f t="shared" si="5"/>
        <v>58940</v>
      </c>
      <c r="J123" s="24">
        <f t="shared" si="1"/>
        <v>0</v>
      </c>
      <c r="K123" s="24">
        <f>IF(M123&gt;0,'A remplir'!B$99/'A remplir'!F$99,0)</f>
        <v>0</v>
      </c>
      <c r="L123" s="24">
        <f>M122*'A remplir'!J$99</f>
        <v>0</v>
      </c>
      <c r="M123" s="13">
        <f>IF(M122&gt;0.001,M122-('A remplir'!B$99/'A remplir'!F$99),0)</f>
        <v>0</v>
      </c>
    </row>
    <row r="124" spans="1:13" x14ac:dyDescent="0.25">
      <c r="A124" s="1">
        <v>44</v>
      </c>
      <c r="B124" s="23">
        <f t="shared" si="2"/>
        <v>59305</v>
      </c>
      <c r="C124" s="24">
        <f t="shared" si="3"/>
        <v>0</v>
      </c>
      <c r="D124" s="24">
        <f t="shared" si="6"/>
        <v>0</v>
      </c>
      <c r="E124" s="24">
        <f>F123*'A remplir'!J$99</f>
        <v>0</v>
      </c>
      <c r="F124" s="13">
        <f t="shared" si="4"/>
        <v>0</v>
      </c>
      <c r="H124" s="1">
        <v>44</v>
      </c>
      <c r="I124" s="23">
        <f t="shared" si="5"/>
        <v>59305</v>
      </c>
      <c r="J124" s="24">
        <f t="shared" si="1"/>
        <v>0</v>
      </c>
      <c r="K124" s="24">
        <f>IF(M124&gt;0,'A remplir'!B$99/'A remplir'!F$99,0)</f>
        <v>0</v>
      </c>
      <c r="L124" s="24">
        <f>M123*'A remplir'!J$99</f>
        <v>0</v>
      </c>
      <c r="M124" s="13">
        <f>IF(M123&gt;0.001,M123-('A remplir'!B$99/'A remplir'!F$99),0)</f>
        <v>0</v>
      </c>
    </row>
    <row r="125" spans="1:13" x14ac:dyDescent="0.25">
      <c r="A125" s="1">
        <v>45</v>
      </c>
      <c r="B125" s="23">
        <f t="shared" si="2"/>
        <v>59670</v>
      </c>
      <c r="C125" s="24">
        <f t="shared" si="3"/>
        <v>0</v>
      </c>
      <c r="D125" s="24">
        <f t="shared" si="6"/>
        <v>0</v>
      </c>
      <c r="E125" s="24">
        <f>F124*'A remplir'!J$99</f>
        <v>0</v>
      </c>
      <c r="F125" s="13">
        <f t="shared" si="4"/>
        <v>0</v>
      </c>
      <c r="H125" s="1">
        <v>45</v>
      </c>
      <c r="I125" s="23">
        <f t="shared" si="5"/>
        <v>59670</v>
      </c>
      <c r="J125" s="24">
        <f t="shared" si="1"/>
        <v>0</v>
      </c>
      <c r="K125" s="24">
        <f>IF(M125&gt;0,'A remplir'!B$99/'A remplir'!F$99,0)</f>
        <v>0</v>
      </c>
      <c r="L125" s="24">
        <f>M124*'A remplir'!J$99</f>
        <v>0</v>
      </c>
      <c r="M125" s="13">
        <f>IF(M124&gt;0.001,M124-('A remplir'!B$99/'A remplir'!F$99),0)</f>
        <v>0</v>
      </c>
    </row>
    <row r="126" spans="1:13" x14ac:dyDescent="0.25">
      <c r="A126" s="1">
        <v>46</v>
      </c>
      <c r="B126" s="23">
        <f t="shared" si="2"/>
        <v>60036</v>
      </c>
      <c r="C126" s="24">
        <f t="shared" si="3"/>
        <v>0</v>
      </c>
      <c r="D126" s="24">
        <f t="shared" si="6"/>
        <v>0</v>
      </c>
      <c r="E126" s="24">
        <f>F125*'A remplir'!J$99</f>
        <v>0</v>
      </c>
      <c r="F126" s="13">
        <f t="shared" si="4"/>
        <v>0</v>
      </c>
      <c r="H126" s="1">
        <v>46</v>
      </c>
      <c r="I126" s="23">
        <f t="shared" si="5"/>
        <v>60036</v>
      </c>
      <c r="J126" s="24">
        <f t="shared" si="1"/>
        <v>0</v>
      </c>
      <c r="K126" s="24">
        <f>IF(M126&gt;0,'A remplir'!B$99/'A remplir'!F$99,0)</f>
        <v>0</v>
      </c>
      <c r="L126" s="24">
        <f>M125*'A remplir'!J$99</f>
        <v>0</v>
      </c>
      <c r="M126" s="13">
        <f>IF(M125&gt;0.001,M125-('A remplir'!B$99/'A remplir'!F$99),0)</f>
        <v>0</v>
      </c>
    </row>
    <row r="127" spans="1:13" x14ac:dyDescent="0.25">
      <c r="A127" s="1">
        <v>47</v>
      </c>
      <c r="B127" s="23">
        <f t="shared" si="2"/>
        <v>60401</v>
      </c>
      <c r="C127" s="24">
        <f t="shared" si="3"/>
        <v>0</v>
      </c>
      <c r="D127" s="24">
        <f t="shared" si="6"/>
        <v>0</v>
      </c>
      <c r="E127" s="24">
        <f>F126*'A remplir'!J$99</f>
        <v>0</v>
      </c>
      <c r="F127" s="13">
        <f t="shared" si="4"/>
        <v>0</v>
      </c>
      <c r="H127" s="1">
        <v>47</v>
      </c>
      <c r="I127" s="23">
        <f t="shared" si="5"/>
        <v>60401</v>
      </c>
      <c r="J127" s="24">
        <f t="shared" si="1"/>
        <v>0</v>
      </c>
      <c r="K127" s="24">
        <f>IF(M127&gt;0,'A remplir'!B$99/'A remplir'!F$99,0)</f>
        <v>0</v>
      </c>
      <c r="L127" s="24">
        <f>M126*'A remplir'!J$99</f>
        <v>0</v>
      </c>
      <c r="M127" s="13">
        <f>IF(M126&gt;0.001,M126-('A remplir'!B$99/'A remplir'!F$99),0)</f>
        <v>0</v>
      </c>
    </row>
    <row r="128" spans="1:13" x14ac:dyDescent="0.25">
      <c r="A128" s="1">
        <v>48</v>
      </c>
      <c r="B128" s="23">
        <f t="shared" si="2"/>
        <v>60766</v>
      </c>
      <c r="C128" s="24">
        <f t="shared" si="3"/>
        <v>0</v>
      </c>
      <c r="D128" s="24">
        <f t="shared" si="6"/>
        <v>0</v>
      </c>
      <c r="E128" s="24">
        <f>F127*'A remplir'!J$99</f>
        <v>0</v>
      </c>
      <c r="F128" s="13">
        <f t="shared" si="4"/>
        <v>0</v>
      </c>
      <c r="H128" s="1">
        <v>48</v>
      </c>
      <c r="I128" s="23">
        <f t="shared" si="5"/>
        <v>60766</v>
      </c>
      <c r="J128" s="24">
        <f t="shared" si="1"/>
        <v>0</v>
      </c>
      <c r="K128" s="24">
        <f>IF(M128&gt;0,'A remplir'!B$99/'A remplir'!F$99,0)</f>
        <v>0</v>
      </c>
      <c r="L128" s="24">
        <f>M127*'A remplir'!J$99</f>
        <v>0</v>
      </c>
      <c r="M128" s="13">
        <f>IF(M127&gt;0.001,M127-('A remplir'!B$99/'A remplir'!F$99),0)</f>
        <v>0</v>
      </c>
    </row>
    <row r="129" spans="1:13" x14ac:dyDescent="0.25">
      <c r="A129" s="1">
        <v>49</v>
      </c>
      <c r="B129" s="23">
        <f t="shared" si="2"/>
        <v>61131</v>
      </c>
      <c r="C129" s="24">
        <f t="shared" si="3"/>
        <v>0</v>
      </c>
      <c r="D129" s="24">
        <f t="shared" si="6"/>
        <v>0</v>
      </c>
      <c r="E129" s="24">
        <f>F128*'A remplir'!J$99</f>
        <v>0</v>
      </c>
      <c r="F129" s="13">
        <f t="shared" si="4"/>
        <v>0</v>
      </c>
      <c r="H129" s="1">
        <v>49</v>
      </c>
      <c r="I129" s="23">
        <f t="shared" si="5"/>
        <v>61131</v>
      </c>
      <c r="J129" s="24">
        <f t="shared" si="1"/>
        <v>0</v>
      </c>
      <c r="K129" s="24">
        <f>IF(M129&gt;0,'A remplir'!B$99/'A remplir'!F$99,0)</f>
        <v>0</v>
      </c>
      <c r="L129" s="24">
        <f>M128*'A remplir'!J$99</f>
        <v>0</v>
      </c>
      <c r="M129" s="13">
        <f>IF(M128&gt;0.001,M128-('A remplir'!B$99/'A remplir'!F$99),0)</f>
        <v>0</v>
      </c>
    </row>
    <row r="130" spans="1:13" x14ac:dyDescent="0.25">
      <c r="A130" s="1">
        <v>50</v>
      </c>
      <c r="B130" s="23">
        <f t="shared" si="2"/>
        <v>61497</v>
      </c>
      <c r="C130" s="24">
        <f t="shared" si="3"/>
        <v>0</v>
      </c>
      <c r="D130" s="24">
        <f t="shared" si="6"/>
        <v>0</v>
      </c>
      <c r="E130" s="24">
        <f>F129*'A remplir'!J$99</f>
        <v>0</v>
      </c>
      <c r="F130" s="13">
        <f t="shared" si="4"/>
        <v>0</v>
      </c>
      <c r="H130" s="1">
        <v>50</v>
      </c>
      <c r="I130" s="23">
        <f t="shared" si="5"/>
        <v>61497</v>
      </c>
      <c r="J130" s="24">
        <f t="shared" si="1"/>
        <v>0</v>
      </c>
      <c r="K130" s="24">
        <f>IF(M130&gt;0,'A remplir'!B$99/'A remplir'!F$99,0)</f>
        <v>0</v>
      </c>
      <c r="L130" s="24">
        <f>M129*'A remplir'!J$99</f>
        <v>0</v>
      </c>
      <c r="M130" s="13">
        <f>IF(M129&gt;0.001,M129-('A remplir'!B$99/'A remplir'!F$99),0)</f>
        <v>0</v>
      </c>
    </row>
    <row r="131" spans="1:13" ht="15.75" thickBot="1" x14ac:dyDescent="0.3"/>
    <row r="132" spans="1:13" ht="15.75" thickBot="1" x14ac:dyDescent="0.3">
      <c r="B132" s="38" t="s">
        <v>78</v>
      </c>
      <c r="C132" s="39">
        <f>SUM(C81:C130)</f>
        <v>978732.53406986839</v>
      </c>
      <c r="I132" s="38" t="s">
        <v>78</v>
      </c>
      <c r="J132" s="39">
        <f>SUM(J81:J130)</f>
        <v>964799.74440000008</v>
      </c>
    </row>
    <row r="138" spans="1:13" x14ac:dyDescent="0.25">
      <c r="B138" s="8" t="s">
        <v>118</v>
      </c>
    </row>
    <row r="139" spans="1:13" x14ac:dyDescent="0.25">
      <c r="B139" s="8"/>
    </row>
    <row r="140" spans="1:13" x14ac:dyDescent="0.25">
      <c r="A140" s="60" t="s">
        <v>121</v>
      </c>
      <c r="H140" s="60" t="s">
        <v>120</v>
      </c>
    </row>
    <row r="141" spans="1:13" ht="30" x14ac:dyDescent="0.25">
      <c r="A141" s="2" t="s">
        <v>40</v>
      </c>
      <c r="B141" s="2" t="s">
        <v>41</v>
      </c>
      <c r="C141" s="20" t="s">
        <v>37</v>
      </c>
      <c r="D141" s="2" t="s">
        <v>43</v>
      </c>
      <c r="E141" s="2" t="s">
        <v>46</v>
      </c>
      <c r="F141" s="19" t="s">
        <v>42</v>
      </c>
      <c r="H141" s="2" t="s">
        <v>40</v>
      </c>
      <c r="I141" s="2" t="s">
        <v>41</v>
      </c>
      <c r="J141" s="20" t="s">
        <v>37</v>
      </c>
      <c r="K141" s="2" t="s">
        <v>43</v>
      </c>
      <c r="L141" s="2" t="s">
        <v>46</v>
      </c>
      <c r="M141" s="19" t="s">
        <v>42</v>
      </c>
    </row>
    <row r="142" spans="1:13" x14ac:dyDescent="0.25">
      <c r="A142" s="1">
        <v>1</v>
      </c>
      <c r="B142" s="23">
        <f>'A remplir'!$B$21</f>
        <v>43599</v>
      </c>
      <c r="C142" s="24">
        <f>C81+'Ne pas toucher'!F6</f>
        <v>39149.301362794758</v>
      </c>
      <c r="D142" s="24">
        <f>D81+'Ne pas toucher'!G6</f>
        <v>24635.782562794757</v>
      </c>
      <c r="E142" s="24">
        <f>E81+'Ne pas toucher'!H6</f>
        <v>14513.518800000002</v>
      </c>
      <c r="F142" s="13">
        <f>F81+'Ne pas toucher'!I6</f>
        <v>751488.21743720525</v>
      </c>
      <c r="H142" s="1">
        <v>1</v>
      </c>
      <c r="I142" s="23">
        <f>'A remplir'!$B$21</f>
        <v>43599</v>
      </c>
      <c r="J142" s="24">
        <f>J81+'Ne pas toucher'!F6</f>
        <v>45558.478799999997</v>
      </c>
      <c r="K142" s="24">
        <f>K81+'Ne pas toucher'!G6</f>
        <v>31044.959999999999</v>
      </c>
      <c r="L142" s="24">
        <f>L81+'Ne pas toucher'!H6</f>
        <v>14513.518800000002</v>
      </c>
      <c r="M142" s="13">
        <f>M81+'Ne pas toucher'!I6</f>
        <v>745079.04</v>
      </c>
    </row>
    <row r="143" spans="1:13" x14ac:dyDescent="0.25">
      <c r="A143" s="1">
        <v>2</v>
      </c>
      <c r="B143" s="23">
        <f>DATE(YEAR(B142)+1,MONTH(B142),DAY(B142))</f>
        <v>43965</v>
      </c>
      <c r="C143" s="24">
        <f>C82+'Ne pas toucher'!F7</f>
        <v>39149.301362794758</v>
      </c>
      <c r="D143" s="24">
        <f>D82+'Ne pas toucher'!G7</f>
        <v>25096.471696719018</v>
      </c>
      <c r="E143" s="24">
        <f>E82+'Ne pas toucher'!H7</f>
        <v>14052.829666075739</v>
      </c>
      <c r="F143" s="13">
        <f>F82+'Ne pas toucher'!I7</f>
        <v>726391.74574048619</v>
      </c>
      <c r="H143" s="1">
        <v>2</v>
      </c>
      <c r="I143" s="23">
        <f>DATE(YEAR(I142)+1,MONTH(I142),DAY(I142))</f>
        <v>43965</v>
      </c>
      <c r="J143" s="24">
        <f>J82+'Ne pas toucher'!F7</f>
        <v>44977.938047999996</v>
      </c>
      <c r="K143" s="24">
        <f>K82+'Ne pas toucher'!G7</f>
        <v>31044.959999999999</v>
      </c>
      <c r="L143" s="24">
        <f>L82+'Ne pas toucher'!H7</f>
        <v>13932.978048000001</v>
      </c>
      <c r="M143" s="13">
        <f>IF(M142&gt;0.001,M82+'Ne pas toucher'!I7,0)</f>
        <v>714034.08000000007</v>
      </c>
    </row>
    <row r="144" spans="1:13" x14ac:dyDescent="0.25">
      <c r="A144" s="1">
        <v>3</v>
      </c>
      <c r="B144" s="23">
        <f t="shared" ref="B144:B191" si="7">DATE(YEAR(B143)+1,MONTH(B143),DAY(B143))</f>
        <v>44330</v>
      </c>
      <c r="C144" s="24">
        <f>C83+'Ne pas toucher'!F8</f>
        <v>39149.301362794758</v>
      </c>
      <c r="D144" s="24">
        <f>D83+'Ne pas toucher'!G8</f>
        <v>25565.775717447665</v>
      </c>
      <c r="E144" s="24">
        <f>E83+'Ne pas toucher'!H8</f>
        <v>13583.525645347092</v>
      </c>
      <c r="F144" s="13">
        <f>F83+'Ne pas toucher'!I8</f>
        <v>700825.97002303856</v>
      </c>
      <c r="H144" s="1">
        <v>3</v>
      </c>
      <c r="I144" s="23">
        <f t="shared" ref="I144:I191" si="8">DATE(YEAR(I143)+1,MONTH(I143),DAY(I143))</f>
        <v>44330</v>
      </c>
      <c r="J144" s="24">
        <f>J83+'Ne pas toucher'!F8</f>
        <v>44397.397296000003</v>
      </c>
      <c r="K144" s="24">
        <f>K83+'Ne pas toucher'!G8</f>
        <v>31044.959999999999</v>
      </c>
      <c r="L144" s="24">
        <f>L83+'Ne pas toucher'!H8</f>
        <v>13352.437296000002</v>
      </c>
      <c r="M144" s="13">
        <f>IF(M143&gt;0.001,M83+'Ne pas toucher'!I8,0)</f>
        <v>682989.12000000011</v>
      </c>
    </row>
    <row r="145" spans="1:13" x14ac:dyDescent="0.25">
      <c r="A145" s="1">
        <v>4</v>
      </c>
      <c r="B145" s="23">
        <f t="shared" si="7"/>
        <v>44695</v>
      </c>
      <c r="C145" s="24">
        <f>C84+'Ne pas toucher'!F9+'A remplir'!J$92</f>
        <v>39149.301362794758</v>
      </c>
      <c r="D145" s="24">
        <f>D84+'Ne pas toucher'!G9</f>
        <v>26043.855723363937</v>
      </c>
      <c r="E145" s="24">
        <f>E84+'Ne pas toucher'!H9</f>
        <v>13105.445639430822</v>
      </c>
      <c r="F145" s="13">
        <f>F84+'Ne pas toucher'!I9</f>
        <v>674782.11429967463</v>
      </c>
      <c r="H145" s="1">
        <v>4</v>
      </c>
      <c r="I145" s="23">
        <f t="shared" si="8"/>
        <v>44695</v>
      </c>
      <c r="J145" s="24">
        <f>J84+'Ne pas toucher'!F9+'A remplir'!J$92</f>
        <v>43816.856544000002</v>
      </c>
      <c r="K145" s="24">
        <f>K84+'Ne pas toucher'!G9</f>
        <v>31044.959999999999</v>
      </c>
      <c r="L145" s="24">
        <f>L84+'Ne pas toucher'!H9</f>
        <v>12771.896544000003</v>
      </c>
      <c r="M145" s="13">
        <f>IF(M144&gt;0.001,M84+'Ne pas toucher'!I9,0)</f>
        <v>651944.16000000015</v>
      </c>
    </row>
    <row r="146" spans="1:13" x14ac:dyDescent="0.25">
      <c r="A146" s="1">
        <v>5</v>
      </c>
      <c r="B146" s="23">
        <f>DATE(YEAR(B145)+1,MONTH(B145),DAY(B145))</f>
        <v>45060</v>
      </c>
      <c r="C146" s="24">
        <f>C85+'Ne pas toucher'!F10+'A remplir'!J$92</f>
        <v>39149.301362794758</v>
      </c>
      <c r="D146" s="24">
        <f>D85+'Ne pas toucher'!G10</f>
        <v>26530.875825390842</v>
      </c>
      <c r="E146" s="24">
        <f>E85+'Ne pas toucher'!H10</f>
        <v>12618.425537403917</v>
      </c>
      <c r="F146" s="13">
        <f>F85+'Ne pas toucher'!I10</f>
        <v>648251.23847428383</v>
      </c>
      <c r="H146" s="1">
        <v>5</v>
      </c>
      <c r="I146" s="23">
        <f t="shared" si="8"/>
        <v>45060</v>
      </c>
      <c r="J146" s="24">
        <f>J85+'Ne pas toucher'!F10+'A remplir'!J$92</f>
        <v>43236.315792000001</v>
      </c>
      <c r="K146" s="24">
        <f>K85+'Ne pas toucher'!G10</f>
        <v>31044.959999999999</v>
      </c>
      <c r="L146" s="24">
        <f>L85+'Ne pas toucher'!H10</f>
        <v>12191.355792000004</v>
      </c>
      <c r="M146" s="13">
        <f>IF(M145&gt;0.001,M85+'Ne pas toucher'!I10,0)</f>
        <v>620899.20000000019</v>
      </c>
    </row>
    <row r="147" spans="1:13" x14ac:dyDescent="0.25">
      <c r="A147" s="1">
        <v>6</v>
      </c>
      <c r="B147" s="23">
        <f t="shared" si="7"/>
        <v>45426</v>
      </c>
      <c r="C147" s="24">
        <f>C86+'Ne pas toucher'!F11+'A remplir'!J$92</f>
        <v>39149.301362794758</v>
      </c>
      <c r="D147" s="24">
        <f>D86+'Ne pas toucher'!G11</f>
        <v>27027.00320332565</v>
      </c>
      <c r="E147" s="24">
        <f>E86+'Ne pas toucher'!H11</f>
        <v>12122.298159469108</v>
      </c>
      <c r="F147" s="13">
        <f>F86+'Ne pas toucher'!I11</f>
        <v>621224.23527095816</v>
      </c>
      <c r="H147" s="1">
        <v>6</v>
      </c>
      <c r="I147" s="23">
        <f t="shared" si="8"/>
        <v>45426</v>
      </c>
      <c r="J147" s="24">
        <f>J86+'Ne pas toucher'!F11+'A remplir'!J$92</f>
        <v>42655.775040000008</v>
      </c>
      <c r="K147" s="24">
        <f>K86+'Ne pas toucher'!G11</f>
        <v>31044.959999999999</v>
      </c>
      <c r="L147" s="24">
        <f>L86+'Ne pas toucher'!H11</f>
        <v>11610.815040000005</v>
      </c>
      <c r="M147" s="13">
        <f>IF(M146&gt;0.001,M86+'Ne pas toucher'!I11,0)</f>
        <v>589854.24000000022</v>
      </c>
    </row>
    <row r="148" spans="1:13" x14ac:dyDescent="0.25">
      <c r="A148" s="1">
        <v>7</v>
      </c>
      <c r="B148" s="23">
        <f t="shared" si="7"/>
        <v>45791</v>
      </c>
      <c r="C148" s="24">
        <f>C87+'Ne pas toucher'!F12+'A remplir'!J$92</f>
        <v>39149.301362794758</v>
      </c>
      <c r="D148" s="24">
        <f>D87+'Ne pas toucher'!G12</f>
        <v>27532.408163227839</v>
      </c>
      <c r="E148" s="24">
        <f>E87+'Ne pas toucher'!H12</f>
        <v>11616.893199566919</v>
      </c>
      <c r="F148" s="13">
        <f>F87+'Ne pas toucher'!I12</f>
        <v>593691.82710773032</v>
      </c>
      <c r="H148" s="1">
        <v>7</v>
      </c>
      <c r="I148" s="23">
        <f t="shared" si="8"/>
        <v>45791</v>
      </c>
      <c r="J148" s="24">
        <f>J87+'Ne pas toucher'!F12+'A remplir'!J$92</f>
        <v>42075.234288000007</v>
      </c>
      <c r="K148" s="24">
        <f>K87+'Ne pas toucher'!G12</f>
        <v>31044.959999999999</v>
      </c>
      <c r="L148" s="24">
        <f>L87+'Ne pas toucher'!H12</f>
        <v>11030.274288000004</v>
      </c>
      <c r="M148" s="13">
        <f>IF(M147&gt;0.001,M87+'Ne pas toucher'!I12,0)</f>
        <v>558809.28000000026</v>
      </c>
    </row>
    <row r="149" spans="1:13" x14ac:dyDescent="0.25">
      <c r="A149" s="1">
        <v>8</v>
      </c>
      <c r="B149" s="23">
        <f t="shared" si="7"/>
        <v>46156</v>
      </c>
      <c r="C149" s="24">
        <f>C88+'Ne pas toucher'!F13+'A remplir'!J$92</f>
        <v>39149.301362794758</v>
      </c>
      <c r="D149" s="24">
        <f>D88+'Ne pas toucher'!G13</f>
        <v>28047.264195880201</v>
      </c>
      <c r="E149" s="24">
        <f>E88+'Ne pas toucher'!H13</f>
        <v>11102.037166914557</v>
      </c>
      <c r="F149" s="13">
        <f>F88+'Ne pas toucher'!I13</f>
        <v>565644.56291185017</v>
      </c>
      <c r="H149" s="1">
        <v>8</v>
      </c>
      <c r="I149" s="23">
        <f t="shared" si="8"/>
        <v>46156</v>
      </c>
      <c r="J149" s="24">
        <f>J88+'Ne pas toucher'!F13+'A remplir'!J$92</f>
        <v>41494.693536000006</v>
      </c>
      <c r="K149" s="24">
        <f>K88+'Ne pas toucher'!G13</f>
        <v>31044.959999999999</v>
      </c>
      <c r="L149" s="24">
        <f>L88+'Ne pas toucher'!H13</f>
        <v>10449.733536000005</v>
      </c>
      <c r="M149" s="13">
        <f>IF(M148&gt;0.001,M88+'Ne pas toucher'!I13,0)</f>
        <v>527764.3200000003</v>
      </c>
    </row>
    <row r="150" spans="1:13" x14ac:dyDescent="0.25">
      <c r="A150" s="1">
        <v>9</v>
      </c>
      <c r="B150" s="23">
        <f t="shared" si="7"/>
        <v>46521</v>
      </c>
      <c r="C150" s="24">
        <f>C89+'Ne pas toucher'!F14+'A remplir'!J$92</f>
        <v>39149.301362794758</v>
      </c>
      <c r="D150" s="24">
        <f>D89+'Ne pas toucher'!G14</f>
        <v>28571.74803634316</v>
      </c>
      <c r="E150" s="24">
        <f>E89+'Ne pas toucher'!H14</f>
        <v>10577.5533264516</v>
      </c>
      <c r="F150" s="13">
        <f>F89+'Ne pas toucher'!I14</f>
        <v>537072.81487550703</v>
      </c>
      <c r="H150" s="1">
        <v>9</v>
      </c>
      <c r="I150" s="23">
        <f t="shared" si="8"/>
        <v>46521</v>
      </c>
      <c r="J150" s="24">
        <f>J89+'Ne pas toucher'!F14+'A remplir'!J$92</f>
        <v>40914.152784000005</v>
      </c>
      <c r="K150" s="24">
        <f>K89+'Ne pas toucher'!G14</f>
        <v>31044.959999999999</v>
      </c>
      <c r="L150" s="24">
        <f>L89+'Ne pas toucher'!H14</f>
        <v>9869.1927840000062</v>
      </c>
      <c r="M150" s="13">
        <f>IF(M149&gt;0.001,M89+'Ne pas toucher'!I14,0)</f>
        <v>496719.36000000028</v>
      </c>
    </row>
    <row r="151" spans="1:13" x14ac:dyDescent="0.25">
      <c r="A151" s="1">
        <v>10</v>
      </c>
      <c r="B151" s="23">
        <f t="shared" si="7"/>
        <v>46887</v>
      </c>
      <c r="C151" s="24">
        <f>C90+'Ne pas toucher'!F15+'A remplir'!J$92</f>
        <v>39149.301362794758</v>
      </c>
      <c r="D151" s="24">
        <f>D90+'Ne pas toucher'!G15</f>
        <v>29106.039724622777</v>
      </c>
      <c r="E151" s="24">
        <f>E90+'Ne pas toucher'!H15</f>
        <v>10043.261638171982</v>
      </c>
      <c r="F151" s="13">
        <f>F90+'Ne pas toucher'!I15</f>
        <v>507966.77515088423</v>
      </c>
      <c r="H151" s="1">
        <v>10</v>
      </c>
      <c r="I151" s="23">
        <f t="shared" si="8"/>
        <v>46887</v>
      </c>
      <c r="J151" s="24">
        <f>J90+'Ne pas toucher'!F15+'A remplir'!J$92</f>
        <v>40333.612032000005</v>
      </c>
      <c r="K151" s="24">
        <f>K90+'Ne pas toucher'!G15</f>
        <v>31044.959999999999</v>
      </c>
      <c r="L151" s="24">
        <f>L90+'Ne pas toucher'!H15</f>
        <v>9288.6520320000054</v>
      </c>
      <c r="M151" s="13">
        <f>IF(M150&gt;0.001,M90+'Ne pas toucher'!I15,0)</f>
        <v>465674.40000000026</v>
      </c>
    </row>
    <row r="152" spans="1:13" x14ac:dyDescent="0.25">
      <c r="A152" s="1">
        <v>11</v>
      </c>
      <c r="B152" s="23">
        <f t="shared" si="7"/>
        <v>47252</v>
      </c>
      <c r="C152" s="24">
        <f>C91+'Ne pas toucher'!F16+'A remplir'!J$92</f>
        <v>39149.301362794758</v>
      </c>
      <c r="D152" s="24">
        <f>D91+'Ne pas toucher'!G16</f>
        <v>29650.322667473221</v>
      </c>
      <c r="E152" s="24">
        <f>E91+'Ne pas toucher'!H16</f>
        <v>9498.9786953215353</v>
      </c>
      <c r="F152" s="13">
        <f>F91+'Ne pas toucher'!I16</f>
        <v>478316.45248341101</v>
      </c>
      <c r="H152" s="1">
        <v>11</v>
      </c>
      <c r="I152" s="23">
        <f t="shared" si="8"/>
        <v>47252</v>
      </c>
      <c r="J152" s="24">
        <f>J91+'Ne pas toucher'!F16+'A remplir'!J$92</f>
        <v>39753.071280000004</v>
      </c>
      <c r="K152" s="24">
        <f>K91+'Ne pas toucher'!G16</f>
        <v>31044.959999999999</v>
      </c>
      <c r="L152" s="24">
        <f>L91+'Ne pas toucher'!H16</f>
        <v>8708.1112800000046</v>
      </c>
      <c r="M152" s="13">
        <f>IF(M151&gt;0.001,M91+'Ne pas toucher'!I16,0)</f>
        <v>434629.44000000024</v>
      </c>
    </row>
    <row r="153" spans="1:13" x14ac:dyDescent="0.25">
      <c r="A153" s="1">
        <v>12</v>
      </c>
      <c r="B153" s="23">
        <f t="shared" si="7"/>
        <v>47617</v>
      </c>
      <c r="C153" s="24">
        <f>C92+'Ne pas toucher'!F17+'A remplir'!J$92</f>
        <v>39149.301362794758</v>
      </c>
      <c r="D153" s="24">
        <f>D92+'Ne pas toucher'!G17</f>
        <v>30204.783701354972</v>
      </c>
      <c r="E153" s="24">
        <f>E92+'Ne pas toucher'!H17</f>
        <v>8944.517661439786</v>
      </c>
      <c r="F153" s="13">
        <f>F92+'Ne pas toucher'!I17</f>
        <v>448111.66878205602</v>
      </c>
      <c r="H153" s="1">
        <v>12</v>
      </c>
      <c r="I153" s="23">
        <f t="shared" si="8"/>
        <v>47617</v>
      </c>
      <c r="J153" s="24">
        <f>J92+'Ne pas toucher'!F17+'A remplir'!J$92</f>
        <v>39172.530528000003</v>
      </c>
      <c r="K153" s="24">
        <f>K92+'Ne pas toucher'!G17</f>
        <v>31044.959999999999</v>
      </c>
      <c r="L153" s="24">
        <f>L92+'Ne pas toucher'!H17</f>
        <v>8127.5705280000047</v>
      </c>
      <c r="M153" s="13">
        <f>IF(M152&gt;0.001,M92+'Ne pas toucher'!I17,0)</f>
        <v>403584.48000000021</v>
      </c>
    </row>
    <row r="154" spans="1:13" x14ac:dyDescent="0.25">
      <c r="A154" s="1">
        <v>13</v>
      </c>
      <c r="B154" s="23">
        <f t="shared" si="7"/>
        <v>47982</v>
      </c>
      <c r="C154" s="24">
        <f>C93+'Ne pas toucher'!F18+'A remplir'!J$92</f>
        <v>39149.301362794758</v>
      </c>
      <c r="D154" s="24">
        <f>D93+'Ne pas toucher'!G18</f>
        <v>30769.613156570311</v>
      </c>
      <c r="E154" s="24">
        <f>E93+'Ne pas toucher'!H18</f>
        <v>8379.6882062244476</v>
      </c>
      <c r="F154" s="13">
        <f>F93+'Ne pas toucher'!I18</f>
        <v>417342.05562548572</v>
      </c>
      <c r="H154" s="1">
        <v>13</v>
      </c>
      <c r="I154" s="23">
        <f t="shared" si="8"/>
        <v>47982</v>
      </c>
      <c r="J154" s="24">
        <f>J93+'Ne pas toucher'!F18+'A remplir'!J$92</f>
        <v>38591.989776000002</v>
      </c>
      <c r="K154" s="24">
        <f>K93+'Ne pas toucher'!G18</f>
        <v>31044.959999999999</v>
      </c>
      <c r="L154" s="24">
        <f>L93+'Ne pas toucher'!H18</f>
        <v>7547.0297760000049</v>
      </c>
      <c r="M154" s="13">
        <f>IF(M153&gt;0.001,M93+'Ne pas toucher'!I18,0)</f>
        <v>372539.52000000019</v>
      </c>
    </row>
    <row r="155" spans="1:13" x14ac:dyDescent="0.25">
      <c r="A155" s="1">
        <v>14</v>
      </c>
      <c r="B155" s="23">
        <f t="shared" si="7"/>
        <v>48348</v>
      </c>
      <c r="C155" s="24">
        <f>C94+'Ne pas toucher'!F19+'A remplir'!J$92</f>
        <v>39149.301362794758</v>
      </c>
      <c r="D155" s="24">
        <f>D94+'Ne pas toucher'!G19</f>
        <v>31345.004922598175</v>
      </c>
      <c r="E155" s="24">
        <f>E94+'Ne pas toucher'!H19</f>
        <v>7804.2964401965837</v>
      </c>
      <c r="F155" s="13">
        <f>F94+'Ne pas toucher'!I19</f>
        <v>385997.05070288753</v>
      </c>
      <c r="H155" s="1">
        <v>14</v>
      </c>
      <c r="I155" s="23">
        <f t="shared" si="8"/>
        <v>48348</v>
      </c>
      <c r="J155" s="24">
        <f>J94+'Ne pas toucher'!F19+'A remplir'!J$92</f>
        <v>38011.449024000001</v>
      </c>
      <c r="K155" s="24">
        <f>K94+'Ne pas toucher'!G19</f>
        <v>31044.959999999999</v>
      </c>
      <c r="L155" s="24">
        <f>L94+'Ne pas toucher'!H19</f>
        <v>6966.4890240000041</v>
      </c>
      <c r="M155" s="13">
        <f>IF(M154&gt;0.001,M94+'Ne pas toucher'!I19,0)</f>
        <v>341494.56000000017</v>
      </c>
    </row>
    <row r="156" spans="1:13" x14ac:dyDescent="0.25">
      <c r="A156" s="1">
        <v>15</v>
      </c>
      <c r="B156" s="23">
        <f t="shared" si="7"/>
        <v>48713</v>
      </c>
      <c r="C156" s="24">
        <f>C95+'Ne pas toucher'!F20+'A remplir'!J$92</f>
        <v>39149.301362794758</v>
      </c>
      <c r="D156" s="24">
        <f>D95+'Ne pas toucher'!G20</f>
        <v>31931.15651465076</v>
      </c>
      <c r="E156" s="24">
        <f>E95+'Ne pas toucher'!H20</f>
        <v>7218.1448481439975</v>
      </c>
      <c r="F156" s="13">
        <f>F95+'Ne pas toucher'!I20</f>
        <v>354065.89418823679</v>
      </c>
      <c r="H156" s="1">
        <v>15</v>
      </c>
      <c r="I156" s="23">
        <f t="shared" si="8"/>
        <v>48713</v>
      </c>
      <c r="J156" s="24">
        <f>J95+'Ne pas toucher'!F20+'A remplir'!J$92</f>
        <v>37430.908272000001</v>
      </c>
      <c r="K156" s="24">
        <f>K95+'Ne pas toucher'!G20</f>
        <v>31044.959999999999</v>
      </c>
      <c r="L156" s="24">
        <f>L95+'Ne pas toucher'!H20</f>
        <v>6385.9482720000033</v>
      </c>
      <c r="M156" s="13">
        <f>IF(M155&gt;0.001,M95+'Ne pas toucher'!I20,0)</f>
        <v>310449.60000000015</v>
      </c>
    </row>
    <row r="157" spans="1:13" x14ac:dyDescent="0.25">
      <c r="A157" s="1">
        <v>16</v>
      </c>
      <c r="B157" s="23">
        <f t="shared" si="7"/>
        <v>49078</v>
      </c>
      <c r="C157" s="24">
        <f>C96+'Ne pas toucher'!F21+'A remplir'!J$92</f>
        <v>39149.301362794758</v>
      </c>
      <c r="D157" s="24">
        <f>D96+'Ne pas toucher'!G21</f>
        <v>32528.269141474731</v>
      </c>
      <c r="E157" s="24">
        <f>E96+'Ne pas toucher'!H21</f>
        <v>6621.0322213200288</v>
      </c>
      <c r="F157" s="13">
        <f>F96+'Ne pas toucher'!I21</f>
        <v>321537.62504676206</v>
      </c>
      <c r="H157" s="1">
        <v>16</v>
      </c>
      <c r="I157" s="23">
        <f t="shared" si="8"/>
        <v>49078</v>
      </c>
      <c r="J157" s="24">
        <f>J96+'Ne pas toucher'!F21+'A remplir'!J$92</f>
        <v>36850.36752</v>
      </c>
      <c r="K157" s="24">
        <f>K96+'Ne pas toucher'!G21</f>
        <v>31044.959999999999</v>
      </c>
      <c r="L157" s="24">
        <f>L96+'Ne pas toucher'!H21</f>
        <v>5805.4075200000034</v>
      </c>
      <c r="M157" s="13">
        <f>IF(M156&gt;0.001,M96+'Ne pas toucher'!I21,0)</f>
        <v>279404.64000000013</v>
      </c>
    </row>
    <row r="158" spans="1:13" x14ac:dyDescent="0.25">
      <c r="A158" s="1">
        <v>17</v>
      </c>
      <c r="B158" s="23">
        <f t="shared" si="7"/>
        <v>49443</v>
      </c>
      <c r="C158" s="24">
        <f>C97+'Ne pas toucher'!F22+'A remplir'!J$92</f>
        <v>39149.301362794758</v>
      </c>
      <c r="D158" s="24">
        <f>D97+'Ne pas toucher'!G22</f>
        <v>33136.547774420309</v>
      </c>
      <c r="E158" s="24">
        <f>E97+'Ne pas toucher'!H22</f>
        <v>6012.7535883744513</v>
      </c>
      <c r="F158" s="13">
        <f>F97+'Ne pas toucher'!I22</f>
        <v>288401.07727234176</v>
      </c>
      <c r="H158" s="1">
        <v>17</v>
      </c>
      <c r="I158" s="23">
        <f t="shared" si="8"/>
        <v>49443</v>
      </c>
      <c r="J158" s="24">
        <f>J97+'Ne pas toucher'!F22+'A remplir'!J$92</f>
        <v>36269.826767999999</v>
      </c>
      <c r="K158" s="24">
        <f>K97+'Ne pas toucher'!G22</f>
        <v>31044.959999999999</v>
      </c>
      <c r="L158" s="24">
        <f>L97+'Ne pas toucher'!H22</f>
        <v>5224.8667680000026</v>
      </c>
      <c r="M158" s="13">
        <f>IF(M157&gt;0.001,M97+'Ne pas toucher'!I22,0)</f>
        <v>248359.68000000014</v>
      </c>
    </row>
    <row r="159" spans="1:13" x14ac:dyDescent="0.25">
      <c r="A159" s="1">
        <v>18</v>
      </c>
      <c r="B159" s="23">
        <f t="shared" si="7"/>
        <v>49809</v>
      </c>
      <c r="C159" s="24">
        <f>C98+'Ne pas toucher'!F23+'A remplir'!J$92</f>
        <v>39149.301362794758</v>
      </c>
      <c r="D159" s="24">
        <f>D98+'Ne pas toucher'!G23</f>
        <v>33756.201217801965</v>
      </c>
      <c r="E159" s="24">
        <f>E98+'Ne pas toucher'!H23</f>
        <v>5393.1001449927917</v>
      </c>
      <c r="F159" s="13">
        <f>F98+'Ne pas toucher'!I23</f>
        <v>254644.87605453981</v>
      </c>
      <c r="H159" s="1">
        <v>18</v>
      </c>
      <c r="I159" s="23">
        <f t="shared" si="8"/>
        <v>49809</v>
      </c>
      <c r="J159" s="24">
        <f>J98+'Ne pas toucher'!F23+'A remplir'!J$92</f>
        <v>35689.286015999998</v>
      </c>
      <c r="K159" s="24">
        <f>K98+'Ne pas toucher'!G23</f>
        <v>31044.959999999999</v>
      </c>
      <c r="L159" s="24">
        <f>L98+'Ne pas toucher'!H23</f>
        <v>4644.3260160000027</v>
      </c>
      <c r="M159" s="13">
        <f>IF(M158&gt;0.001,M98+'Ne pas toucher'!I23,0)</f>
        <v>217314.72000000015</v>
      </c>
    </row>
    <row r="160" spans="1:13" x14ac:dyDescent="0.25">
      <c r="A160" s="1">
        <v>19</v>
      </c>
      <c r="B160" s="23">
        <f t="shared" si="7"/>
        <v>50174</v>
      </c>
      <c r="C160" s="24">
        <f>C99+'Ne pas toucher'!F24</f>
        <v>39149.301362794758</v>
      </c>
      <c r="D160" s="24">
        <f>D99+'Ne pas toucher'!G24</f>
        <v>34387.442180574864</v>
      </c>
      <c r="E160" s="24">
        <f>E99+'Ne pas toucher'!H24</f>
        <v>4761.859182219895</v>
      </c>
      <c r="F160" s="13">
        <f>F99+'Ne pas toucher'!I24</f>
        <v>220257.43387396494</v>
      </c>
      <c r="H160" s="1">
        <v>19</v>
      </c>
      <c r="I160" s="23">
        <f t="shared" si="8"/>
        <v>50174</v>
      </c>
      <c r="J160" s="24">
        <f>J99+'Ne pas toucher'!F24</f>
        <v>35108.745264000005</v>
      </c>
      <c r="K160" s="24">
        <f>K99+'Ne pas toucher'!G24</f>
        <v>31044.959999999999</v>
      </c>
      <c r="L160" s="24">
        <f>L99+'Ne pas toucher'!H24</f>
        <v>4063.7852640000028</v>
      </c>
      <c r="M160" s="13">
        <f>IF(M159&gt;0.001,M99+'Ne pas toucher'!I24,0)</f>
        <v>186269.76000000015</v>
      </c>
    </row>
    <row r="161" spans="1:13" x14ac:dyDescent="0.25">
      <c r="A161" s="1">
        <v>20</v>
      </c>
      <c r="B161" s="23">
        <f t="shared" si="7"/>
        <v>50539</v>
      </c>
      <c r="C161" s="24">
        <f>C100+'Ne pas toucher'!F25</f>
        <v>39149.301362794758</v>
      </c>
      <c r="D161" s="24">
        <f>D100+'Ne pas toucher'!G25</f>
        <v>35030.487349351613</v>
      </c>
      <c r="E161" s="24">
        <f>E100+'Ne pas toucher'!H25</f>
        <v>4118.8140134431451</v>
      </c>
      <c r="F161" s="13">
        <f>F100+'Ne pas toucher'!I25</f>
        <v>185226.94652461333</v>
      </c>
      <c r="H161" s="1">
        <v>20</v>
      </c>
      <c r="I161" s="23">
        <f t="shared" si="8"/>
        <v>50539</v>
      </c>
      <c r="J161" s="24">
        <f>J100+'Ne pas toucher'!F25</f>
        <v>34528.204512000004</v>
      </c>
      <c r="K161" s="24">
        <f>K100+'Ne pas toucher'!G25</f>
        <v>31044.959999999999</v>
      </c>
      <c r="L161" s="24">
        <f>L100+'Ne pas toucher'!H25</f>
        <v>3483.2445120000029</v>
      </c>
      <c r="M161" s="13">
        <f>IF(M160&gt;0.001,M100+'Ne pas toucher'!I25,0)</f>
        <v>155224.80000000016</v>
      </c>
    </row>
    <row r="162" spans="1:13" x14ac:dyDescent="0.25">
      <c r="A162" s="1">
        <v>21</v>
      </c>
      <c r="B162" s="23">
        <f t="shared" si="7"/>
        <v>50904</v>
      </c>
      <c r="C162" s="24">
        <f>C101+'Ne pas toucher'!F26</f>
        <v>39149.301362794758</v>
      </c>
      <c r="D162" s="24">
        <f>D101+'Ne pas toucher'!G26</f>
        <v>35685.557462784491</v>
      </c>
      <c r="E162" s="24">
        <f>E101+'Ne pas toucher'!H26</f>
        <v>3463.7439000102695</v>
      </c>
      <c r="F162" s="13">
        <f>F101+'Ne pas toucher'!I26</f>
        <v>149541.38906182884</v>
      </c>
      <c r="H162" s="1">
        <v>21</v>
      </c>
      <c r="I162" s="23">
        <f t="shared" si="8"/>
        <v>50904</v>
      </c>
      <c r="J162" s="24">
        <f>J101+'Ne pas toucher'!F26</f>
        <v>33947.663760000003</v>
      </c>
      <c r="K162" s="24">
        <f>K101+'Ne pas toucher'!G26</f>
        <v>31044.959999999999</v>
      </c>
      <c r="L162" s="24">
        <f>L101+'Ne pas toucher'!H26</f>
        <v>2902.7037600000031</v>
      </c>
      <c r="M162" s="13">
        <f>IF(M161&gt;0.001,M101+'Ne pas toucher'!I26,0)</f>
        <v>124179.84000000017</v>
      </c>
    </row>
    <row r="163" spans="1:13" x14ac:dyDescent="0.25">
      <c r="A163" s="1">
        <v>22</v>
      </c>
      <c r="B163" s="23">
        <f t="shared" si="7"/>
        <v>51270</v>
      </c>
      <c r="C163" s="24">
        <f>C102+'Ne pas toucher'!F27</f>
        <v>39149.301362794758</v>
      </c>
      <c r="D163" s="24">
        <f>D102+'Ne pas toucher'!G27</f>
        <v>36352.877387338558</v>
      </c>
      <c r="E163" s="24">
        <f>E102+'Ne pas toucher'!H27</f>
        <v>2796.4239754561995</v>
      </c>
      <c r="F163" s="13">
        <f>F102+'Ne pas toucher'!I27</f>
        <v>113188.51167449029</v>
      </c>
      <c r="H163" s="1">
        <v>22</v>
      </c>
      <c r="I163" s="23">
        <f t="shared" si="8"/>
        <v>51270</v>
      </c>
      <c r="J163" s="24">
        <f>J102+'Ne pas toucher'!F27</f>
        <v>33367.123008000002</v>
      </c>
      <c r="K163" s="24">
        <f>K102+'Ne pas toucher'!G27</f>
        <v>31044.959999999999</v>
      </c>
      <c r="L163" s="24">
        <f>L102+'Ne pas toucher'!H27</f>
        <v>2322.1630080000032</v>
      </c>
      <c r="M163" s="13">
        <f>IF(M162&gt;0.001,M102+'Ne pas toucher'!I27,0)</f>
        <v>93134.880000000179</v>
      </c>
    </row>
    <row r="164" spans="1:13" x14ac:dyDescent="0.25">
      <c r="A164" s="1">
        <v>23</v>
      </c>
      <c r="B164" s="23">
        <f t="shared" si="7"/>
        <v>51635</v>
      </c>
      <c r="C164" s="24">
        <f>C103+'Ne pas toucher'!F28</f>
        <v>39149.301362794758</v>
      </c>
      <c r="D164" s="24">
        <f>D103+'Ne pas toucher'!G28</f>
        <v>37032.676194481792</v>
      </c>
      <c r="E164" s="24">
        <f>E103+'Ne pas toucher'!H28</f>
        <v>2116.6251683129685</v>
      </c>
      <c r="F164" s="13">
        <f>F103+'Ne pas toucher'!I28</f>
        <v>76155.835480008507</v>
      </c>
      <c r="H164" s="1">
        <v>23</v>
      </c>
      <c r="I164" s="23">
        <f t="shared" si="8"/>
        <v>51635</v>
      </c>
      <c r="J164" s="24">
        <f>J103+'Ne pas toucher'!F28</f>
        <v>32786.582256000002</v>
      </c>
      <c r="K164" s="24">
        <f>K103+'Ne pas toucher'!G28</f>
        <v>31044.959999999999</v>
      </c>
      <c r="L164" s="24">
        <f>L103+'Ne pas toucher'!H28</f>
        <v>1741.6222560000035</v>
      </c>
      <c r="M164" s="13">
        <f>IF(M163&gt;0.001,M103+'Ne pas toucher'!I28,0)</f>
        <v>62089.92000000018</v>
      </c>
    </row>
    <row r="165" spans="1:13" x14ac:dyDescent="0.25">
      <c r="A165" s="1">
        <v>24</v>
      </c>
      <c r="B165" s="23">
        <f t="shared" si="7"/>
        <v>52000</v>
      </c>
      <c r="C165" s="24">
        <f>C104+'Ne pas toucher'!F29</f>
        <v>39149.301362794758</v>
      </c>
      <c r="D165" s="24">
        <f>D104+'Ne pas toucher'!G29</f>
        <v>37725.187239318599</v>
      </c>
      <c r="E165" s="24">
        <f>E104+'Ne pas toucher'!H29</f>
        <v>1424.1141234761592</v>
      </c>
      <c r="F165" s="13">
        <f>F104+'Ne pas toucher'!I29</f>
        <v>38430.648240689909</v>
      </c>
      <c r="H165" s="1">
        <v>24</v>
      </c>
      <c r="I165" s="23">
        <f t="shared" si="8"/>
        <v>52000</v>
      </c>
      <c r="J165" s="24">
        <f>J104+'Ne pas toucher'!F29</f>
        <v>32206.041504000001</v>
      </c>
      <c r="K165" s="24">
        <f>K104+'Ne pas toucher'!G29</f>
        <v>31044.959999999999</v>
      </c>
      <c r="L165" s="24">
        <f>L104+'Ne pas toucher'!H29</f>
        <v>1161.0815040000034</v>
      </c>
      <c r="M165" s="13">
        <f>IF(M164&gt;0.001,M104+'Ne pas toucher'!I29,0)</f>
        <v>31044.960000000181</v>
      </c>
    </row>
    <row r="166" spans="1:13" x14ac:dyDescent="0.25">
      <c r="A166" s="1">
        <v>25</v>
      </c>
      <c r="B166" s="23">
        <f t="shared" si="7"/>
        <v>52365</v>
      </c>
      <c r="C166" s="24">
        <f>C105+'Ne pas toucher'!F30</f>
        <v>39149.301362794758</v>
      </c>
      <c r="D166" s="24">
        <f>D105+'Ne pas toucher'!G30</f>
        <v>38430.648240693859</v>
      </c>
      <c r="E166" s="24">
        <f>E105+'Ne pas toucher'!H30</f>
        <v>718.65312210090133</v>
      </c>
      <c r="F166" s="13">
        <f>F105+'Ne pas toucher'!I30</f>
        <v>-3.9508449845016003E-9</v>
      </c>
      <c r="H166" s="1">
        <v>25</v>
      </c>
      <c r="I166" s="23">
        <f t="shared" si="8"/>
        <v>52365</v>
      </c>
      <c r="J166" s="24">
        <f>J105+'Ne pas toucher'!F30</f>
        <v>31625.500752000004</v>
      </c>
      <c r="K166" s="24">
        <f>K105+'Ne pas toucher'!G30</f>
        <v>31044.959999999999</v>
      </c>
      <c r="L166" s="24">
        <f>L105+'Ne pas toucher'!H30</f>
        <v>580.54075200000341</v>
      </c>
      <c r="M166" s="13">
        <f>IF(M165&gt;0.001,M105+'Ne pas toucher'!I30,0)</f>
        <v>1.8189894035458565E-10</v>
      </c>
    </row>
    <row r="167" spans="1:13" x14ac:dyDescent="0.25">
      <c r="A167" s="1">
        <v>26</v>
      </c>
      <c r="B167" s="23">
        <f t="shared" si="7"/>
        <v>52731</v>
      </c>
      <c r="C167" s="24">
        <f>C106+'Ne pas toucher'!F31</f>
        <v>0</v>
      </c>
      <c r="D167" s="24">
        <f>D106+'Ne pas toucher'!G31</f>
        <v>7.3880801210179936E-11</v>
      </c>
      <c r="E167" s="24">
        <f>E106+'Ne pas toucher'!H31</f>
        <v>-7.3880801210179936E-11</v>
      </c>
      <c r="F167" s="13">
        <f>F106+'Ne pas toucher'!I31</f>
        <v>0</v>
      </c>
      <c r="H167" s="1">
        <v>26</v>
      </c>
      <c r="I167" s="23">
        <f t="shared" si="8"/>
        <v>52731</v>
      </c>
      <c r="J167" s="24">
        <f>J106+'Ne pas toucher'!F31</f>
        <v>0</v>
      </c>
      <c r="K167" s="24">
        <f>K106+'Ne pas toucher'!G31</f>
        <v>0</v>
      </c>
      <c r="L167" s="24">
        <f>L106+'Ne pas toucher'!H31</f>
        <v>3.4015101846307518E-12</v>
      </c>
      <c r="M167" s="13">
        <f>IF(M166&gt;0.001,M106+'Ne pas toucher'!I31,0)</f>
        <v>0</v>
      </c>
    </row>
    <row r="168" spans="1:13" x14ac:dyDescent="0.25">
      <c r="A168" s="1">
        <v>27</v>
      </c>
      <c r="B168" s="23">
        <f t="shared" si="7"/>
        <v>53096</v>
      </c>
      <c r="C168" s="24">
        <f>C107+'Ne pas toucher'!F32</f>
        <v>0</v>
      </c>
      <c r="D168" s="24">
        <f>D107+'Ne pas toucher'!G32</f>
        <v>0</v>
      </c>
      <c r="E168" s="24">
        <f>E107+'Ne pas toucher'!H32</f>
        <v>0</v>
      </c>
      <c r="F168" s="13">
        <f>F107+'Ne pas toucher'!I32</f>
        <v>0</v>
      </c>
      <c r="H168" s="1">
        <v>27</v>
      </c>
      <c r="I168" s="23">
        <f t="shared" si="8"/>
        <v>53096</v>
      </c>
      <c r="J168" s="24">
        <f>J107+'Ne pas toucher'!F32</f>
        <v>0</v>
      </c>
      <c r="K168" s="24">
        <f>K107+'Ne pas toucher'!G32</f>
        <v>0</v>
      </c>
      <c r="L168" s="24">
        <f>L107+'Ne pas toucher'!H32</f>
        <v>0</v>
      </c>
      <c r="M168" s="13">
        <f>IF(M167&gt;0.001,M107+'Ne pas toucher'!I32,0)</f>
        <v>0</v>
      </c>
    </row>
    <row r="169" spans="1:13" x14ac:dyDescent="0.25">
      <c r="A169" s="1">
        <v>28</v>
      </c>
      <c r="B169" s="23">
        <f t="shared" si="7"/>
        <v>53461</v>
      </c>
      <c r="C169" s="24">
        <f>C108+'Ne pas toucher'!F33</f>
        <v>0</v>
      </c>
      <c r="D169" s="24">
        <f>D108+'Ne pas toucher'!G33</f>
        <v>0</v>
      </c>
      <c r="E169" s="24">
        <f>E108+'Ne pas toucher'!H33</f>
        <v>0</v>
      </c>
      <c r="F169" s="13">
        <f>F108+'Ne pas toucher'!I33</f>
        <v>0</v>
      </c>
      <c r="H169" s="1">
        <v>28</v>
      </c>
      <c r="I169" s="23">
        <f t="shared" si="8"/>
        <v>53461</v>
      </c>
      <c r="J169" s="24">
        <f>J108+'Ne pas toucher'!F33</f>
        <v>0</v>
      </c>
      <c r="K169" s="24">
        <f>K108+'Ne pas toucher'!G33</f>
        <v>0</v>
      </c>
      <c r="L169" s="24">
        <f>L108+'Ne pas toucher'!H33</f>
        <v>0</v>
      </c>
      <c r="M169" s="13">
        <f>IF(M168&gt;0.001,M108+'Ne pas toucher'!I33,0)</f>
        <v>0</v>
      </c>
    </row>
    <row r="170" spans="1:13" x14ac:dyDescent="0.25">
      <c r="A170" s="1">
        <v>29</v>
      </c>
      <c r="B170" s="23">
        <f t="shared" si="7"/>
        <v>53826</v>
      </c>
      <c r="C170" s="24">
        <f>C109+'Ne pas toucher'!F34</f>
        <v>0</v>
      </c>
      <c r="D170" s="24">
        <f>D109+'Ne pas toucher'!G34</f>
        <v>0</v>
      </c>
      <c r="E170" s="24">
        <f>E109+'Ne pas toucher'!H34</f>
        <v>0</v>
      </c>
      <c r="F170" s="13">
        <f>F109+'Ne pas toucher'!I34</f>
        <v>0</v>
      </c>
      <c r="H170" s="1">
        <v>29</v>
      </c>
      <c r="I170" s="23">
        <f t="shared" si="8"/>
        <v>53826</v>
      </c>
      <c r="J170" s="24">
        <f>J109+'Ne pas toucher'!F34</f>
        <v>0</v>
      </c>
      <c r="K170" s="24">
        <f>K109+'Ne pas toucher'!G34</f>
        <v>0</v>
      </c>
      <c r="L170" s="24">
        <f>L109+'Ne pas toucher'!H34</f>
        <v>0</v>
      </c>
      <c r="M170" s="13">
        <f>IF(M169&gt;0.001,M109+'Ne pas toucher'!I34,0)</f>
        <v>0</v>
      </c>
    </row>
    <row r="171" spans="1:13" x14ac:dyDescent="0.25">
      <c r="A171" s="1">
        <v>30</v>
      </c>
      <c r="B171" s="23">
        <f t="shared" si="7"/>
        <v>54192</v>
      </c>
      <c r="C171" s="24">
        <f>C110+'Ne pas toucher'!F35</f>
        <v>0</v>
      </c>
      <c r="D171" s="24">
        <f>D110+'Ne pas toucher'!G35</f>
        <v>0</v>
      </c>
      <c r="E171" s="24">
        <f>E110+'Ne pas toucher'!H35</f>
        <v>0</v>
      </c>
      <c r="F171" s="13">
        <f>F110+'Ne pas toucher'!I35</f>
        <v>0</v>
      </c>
      <c r="H171" s="1">
        <v>30</v>
      </c>
      <c r="I171" s="23">
        <f t="shared" si="8"/>
        <v>54192</v>
      </c>
      <c r="J171" s="24">
        <f>J110+'Ne pas toucher'!F35</f>
        <v>0</v>
      </c>
      <c r="K171" s="24">
        <f>K110+'Ne pas toucher'!G35</f>
        <v>0</v>
      </c>
      <c r="L171" s="24">
        <f>L110+'Ne pas toucher'!H35</f>
        <v>0</v>
      </c>
      <c r="M171" s="13">
        <f>IF(M170&gt;0.001,M110+'Ne pas toucher'!I35,0)</f>
        <v>0</v>
      </c>
    </row>
    <row r="172" spans="1:13" x14ac:dyDescent="0.25">
      <c r="A172" s="1">
        <v>31</v>
      </c>
      <c r="B172" s="23">
        <f t="shared" si="7"/>
        <v>54557</v>
      </c>
      <c r="C172" s="24">
        <f>C111+'Ne pas toucher'!F36</f>
        <v>0</v>
      </c>
      <c r="D172" s="24">
        <f>D111+'Ne pas toucher'!G36</f>
        <v>0</v>
      </c>
      <c r="E172" s="24">
        <f>E111+'Ne pas toucher'!H36</f>
        <v>0</v>
      </c>
      <c r="F172" s="13">
        <f>F111+'Ne pas toucher'!I36</f>
        <v>0</v>
      </c>
      <c r="H172" s="1">
        <v>31</v>
      </c>
      <c r="I172" s="23">
        <f t="shared" si="8"/>
        <v>54557</v>
      </c>
      <c r="J172" s="24">
        <f>J111+'Ne pas toucher'!F36</f>
        <v>0</v>
      </c>
      <c r="K172" s="24">
        <f>K111+'Ne pas toucher'!G36</f>
        <v>0</v>
      </c>
      <c r="L172" s="24">
        <f>L111+'Ne pas toucher'!H36</f>
        <v>0</v>
      </c>
      <c r="M172" s="13">
        <f>IF(M171&gt;0.001,M111+'Ne pas toucher'!I36,0)</f>
        <v>0</v>
      </c>
    </row>
    <row r="173" spans="1:13" x14ac:dyDescent="0.25">
      <c r="A173" s="1">
        <v>32</v>
      </c>
      <c r="B173" s="23">
        <f t="shared" si="7"/>
        <v>54922</v>
      </c>
      <c r="C173" s="24">
        <f>C112+'Ne pas toucher'!F37</f>
        <v>0</v>
      </c>
      <c r="D173" s="24">
        <f>D112+'Ne pas toucher'!G37</f>
        <v>0</v>
      </c>
      <c r="E173" s="24">
        <f>E112+'Ne pas toucher'!H37</f>
        <v>0</v>
      </c>
      <c r="F173" s="13">
        <f>F112+'Ne pas toucher'!I37</f>
        <v>0</v>
      </c>
      <c r="H173" s="1">
        <v>32</v>
      </c>
      <c r="I173" s="23">
        <f t="shared" si="8"/>
        <v>54922</v>
      </c>
      <c r="J173" s="24">
        <f>J112+'Ne pas toucher'!F37</f>
        <v>0</v>
      </c>
      <c r="K173" s="24">
        <f>K112+'Ne pas toucher'!G37</f>
        <v>0</v>
      </c>
      <c r="L173" s="24">
        <f>L112+'Ne pas toucher'!H37</f>
        <v>0</v>
      </c>
      <c r="M173" s="13">
        <f>IF(M172&gt;0.001,M112+'Ne pas toucher'!I37,0)</f>
        <v>0</v>
      </c>
    </row>
    <row r="174" spans="1:13" x14ac:dyDescent="0.25">
      <c r="A174" s="1">
        <v>33</v>
      </c>
      <c r="B174" s="23">
        <f t="shared" si="7"/>
        <v>55287</v>
      </c>
      <c r="C174" s="24">
        <f>C113+'Ne pas toucher'!F38</f>
        <v>0</v>
      </c>
      <c r="D174" s="24">
        <f>D113+'Ne pas toucher'!G38</f>
        <v>0</v>
      </c>
      <c r="E174" s="24">
        <f>E113+'Ne pas toucher'!H38</f>
        <v>0</v>
      </c>
      <c r="F174" s="13">
        <f>F113+'Ne pas toucher'!I38</f>
        <v>0</v>
      </c>
      <c r="H174" s="1">
        <v>33</v>
      </c>
      <c r="I174" s="23">
        <f t="shared" si="8"/>
        <v>55287</v>
      </c>
      <c r="J174" s="24">
        <f>J113+'Ne pas toucher'!F38</f>
        <v>0</v>
      </c>
      <c r="K174" s="24">
        <f>K113+'Ne pas toucher'!G38</f>
        <v>0</v>
      </c>
      <c r="L174" s="24">
        <f>L113+'Ne pas toucher'!H38</f>
        <v>0</v>
      </c>
      <c r="M174" s="13">
        <f>IF(M173&gt;0.001,M113+'Ne pas toucher'!I38,0)</f>
        <v>0</v>
      </c>
    </row>
    <row r="175" spans="1:13" x14ac:dyDescent="0.25">
      <c r="A175" s="1">
        <v>34</v>
      </c>
      <c r="B175" s="23">
        <f t="shared" si="7"/>
        <v>55653</v>
      </c>
      <c r="C175" s="24">
        <f>C114+'Ne pas toucher'!F39</f>
        <v>0</v>
      </c>
      <c r="D175" s="24">
        <f>D114+'Ne pas toucher'!G39</f>
        <v>0</v>
      </c>
      <c r="E175" s="24">
        <f>E114+'Ne pas toucher'!H39</f>
        <v>0</v>
      </c>
      <c r="F175" s="13">
        <f>F114+'Ne pas toucher'!I39</f>
        <v>0</v>
      </c>
      <c r="H175" s="1">
        <v>34</v>
      </c>
      <c r="I175" s="23">
        <f t="shared" si="8"/>
        <v>55653</v>
      </c>
      <c r="J175" s="24">
        <f>J114+'Ne pas toucher'!F39</f>
        <v>0</v>
      </c>
      <c r="K175" s="24">
        <f>K114+'Ne pas toucher'!G39</f>
        <v>0</v>
      </c>
      <c r="L175" s="24">
        <f>L114+'Ne pas toucher'!H39</f>
        <v>0</v>
      </c>
      <c r="M175" s="13">
        <f>IF(M174&gt;0.001,M114+'Ne pas toucher'!I39,0)</f>
        <v>0</v>
      </c>
    </row>
    <row r="176" spans="1:13" x14ac:dyDescent="0.25">
      <c r="A176" s="1">
        <v>35</v>
      </c>
      <c r="B176" s="23">
        <f t="shared" si="7"/>
        <v>56018</v>
      </c>
      <c r="C176" s="24">
        <f>C115+'Ne pas toucher'!F40</f>
        <v>0</v>
      </c>
      <c r="D176" s="24">
        <f>D115+'Ne pas toucher'!G40</f>
        <v>0</v>
      </c>
      <c r="E176" s="24">
        <f>E115+'Ne pas toucher'!H40</f>
        <v>0</v>
      </c>
      <c r="F176" s="13">
        <f>F115+'Ne pas toucher'!I40</f>
        <v>0</v>
      </c>
      <c r="H176" s="1">
        <v>35</v>
      </c>
      <c r="I176" s="23">
        <f t="shared" si="8"/>
        <v>56018</v>
      </c>
      <c r="J176" s="24">
        <f>J115+'Ne pas toucher'!F40</f>
        <v>0</v>
      </c>
      <c r="K176" s="24">
        <f>K115+'Ne pas toucher'!G40</f>
        <v>0</v>
      </c>
      <c r="L176" s="24">
        <f>L115+'Ne pas toucher'!H40</f>
        <v>0</v>
      </c>
      <c r="M176" s="13">
        <f>IF(M175&gt;0.001,M115+'Ne pas toucher'!I40,0)</f>
        <v>0</v>
      </c>
    </row>
    <row r="177" spans="1:13" x14ac:dyDescent="0.25">
      <c r="A177" s="1">
        <v>36</v>
      </c>
      <c r="B177" s="23">
        <f t="shared" si="7"/>
        <v>56383</v>
      </c>
      <c r="C177" s="24">
        <f>C116+'Ne pas toucher'!F41</f>
        <v>0</v>
      </c>
      <c r="D177" s="24">
        <f>D116+'Ne pas toucher'!G41</f>
        <v>0</v>
      </c>
      <c r="E177" s="24">
        <f>E116+'Ne pas toucher'!H41</f>
        <v>0</v>
      </c>
      <c r="F177" s="13">
        <f>F116+'Ne pas toucher'!I41</f>
        <v>0</v>
      </c>
      <c r="H177" s="1">
        <v>36</v>
      </c>
      <c r="I177" s="23">
        <f t="shared" si="8"/>
        <v>56383</v>
      </c>
      <c r="J177" s="24">
        <f>J116+'Ne pas toucher'!F41</f>
        <v>0</v>
      </c>
      <c r="K177" s="24">
        <f>K116+'Ne pas toucher'!G41</f>
        <v>0</v>
      </c>
      <c r="L177" s="24">
        <f>L116+'Ne pas toucher'!H41</f>
        <v>0</v>
      </c>
      <c r="M177" s="13">
        <f>IF(M176&gt;0.001,M116+'Ne pas toucher'!I41,0)</f>
        <v>0</v>
      </c>
    </row>
    <row r="178" spans="1:13" x14ac:dyDescent="0.25">
      <c r="A178" s="1">
        <v>37</v>
      </c>
      <c r="B178" s="23">
        <f t="shared" si="7"/>
        <v>56748</v>
      </c>
      <c r="C178" s="24">
        <f>C117+'Ne pas toucher'!F42</f>
        <v>0</v>
      </c>
      <c r="D178" s="24">
        <f>D117+'Ne pas toucher'!G42</f>
        <v>0</v>
      </c>
      <c r="E178" s="24">
        <f>E117+'Ne pas toucher'!H42</f>
        <v>0</v>
      </c>
      <c r="F178" s="13">
        <f>F117+'Ne pas toucher'!I42</f>
        <v>0</v>
      </c>
      <c r="H178" s="1">
        <v>37</v>
      </c>
      <c r="I178" s="23">
        <f t="shared" si="8"/>
        <v>56748</v>
      </c>
      <c r="J178" s="24">
        <f>J117+'Ne pas toucher'!F42</f>
        <v>0</v>
      </c>
      <c r="K178" s="24">
        <f>K117+'Ne pas toucher'!G42</f>
        <v>0</v>
      </c>
      <c r="L178" s="24">
        <f>L117+'Ne pas toucher'!H42</f>
        <v>0</v>
      </c>
      <c r="M178" s="13">
        <f>IF(M177&gt;0.001,M117+'Ne pas toucher'!I42,0)</f>
        <v>0</v>
      </c>
    </row>
    <row r="179" spans="1:13" x14ac:dyDescent="0.25">
      <c r="A179" s="1">
        <v>38</v>
      </c>
      <c r="B179" s="23">
        <f t="shared" si="7"/>
        <v>57114</v>
      </c>
      <c r="C179" s="24">
        <f>C118+'Ne pas toucher'!F43</f>
        <v>0</v>
      </c>
      <c r="D179" s="24">
        <f>D118+'Ne pas toucher'!G43</f>
        <v>0</v>
      </c>
      <c r="E179" s="24">
        <f>E118+'Ne pas toucher'!H43</f>
        <v>0</v>
      </c>
      <c r="F179" s="13">
        <f>F118+'Ne pas toucher'!I43</f>
        <v>0</v>
      </c>
      <c r="H179" s="1">
        <v>38</v>
      </c>
      <c r="I179" s="23">
        <f t="shared" si="8"/>
        <v>57114</v>
      </c>
      <c r="J179" s="24">
        <f>J118+'Ne pas toucher'!F43</f>
        <v>0</v>
      </c>
      <c r="K179" s="24">
        <f>K118+'Ne pas toucher'!G43</f>
        <v>0</v>
      </c>
      <c r="L179" s="24">
        <f>L118+'Ne pas toucher'!H43</f>
        <v>0</v>
      </c>
      <c r="M179" s="13">
        <f>IF(M178&gt;0.001,M118+'Ne pas toucher'!I43,0)</f>
        <v>0</v>
      </c>
    </row>
    <row r="180" spans="1:13" x14ac:dyDescent="0.25">
      <c r="A180" s="1">
        <v>39</v>
      </c>
      <c r="B180" s="23">
        <f t="shared" si="7"/>
        <v>57479</v>
      </c>
      <c r="C180" s="24">
        <f>C119+'Ne pas toucher'!F44</f>
        <v>0</v>
      </c>
      <c r="D180" s="24">
        <f>D119+'Ne pas toucher'!G44</f>
        <v>0</v>
      </c>
      <c r="E180" s="24">
        <f>E119+'Ne pas toucher'!H44</f>
        <v>0</v>
      </c>
      <c r="F180" s="13">
        <f>F119+'Ne pas toucher'!I44</f>
        <v>0</v>
      </c>
      <c r="H180" s="1">
        <v>39</v>
      </c>
      <c r="I180" s="23">
        <f t="shared" si="8"/>
        <v>57479</v>
      </c>
      <c r="J180" s="24">
        <f>J119+'Ne pas toucher'!F44</f>
        <v>0</v>
      </c>
      <c r="K180" s="24">
        <f>K119+'Ne pas toucher'!G44</f>
        <v>0</v>
      </c>
      <c r="L180" s="24">
        <f>L119+'Ne pas toucher'!H44</f>
        <v>0</v>
      </c>
      <c r="M180" s="13">
        <f>IF(M179&gt;0.001,M119+'Ne pas toucher'!I44,0)</f>
        <v>0</v>
      </c>
    </row>
    <row r="181" spans="1:13" x14ac:dyDescent="0.25">
      <c r="A181" s="1">
        <v>40</v>
      </c>
      <c r="B181" s="23">
        <f t="shared" si="7"/>
        <v>57844</v>
      </c>
      <c r="C181" s="24">
        <f>C120+'Ne pas toucher'!F45</f>
        <v>0</v>
      </c>
      <c r="D181" s="24">
        <f>D120+'Ne pas toucher'!G45</f>
        <v>0</v>
      </c>
      <c r="E181" s="24">
        <f>E120+'Ne pas toucher'!H45</f>
        <v>0</v>
      </c>
      <c r="F181" s="13">
        <f>F120+'Ne pas toucher'!I45</f>
        <v>0</v>
      </c>
      <c r="H181" s="1">
        <v>40</v>
      </c>
      <c r="I181" s="23">
        <f t="shared" si="8"/>
        <v>57844</v>
      </c>
      <c r="J181" s="24">
        <f>J120+'Ne pas toucher'!F45</f>
        <v>0</v>
      </c>
      <c r="K181" s="24">
        <f>K120+'Ne pas toucher'!G45</f>
        <v>0</v>
      </c>
      <c r="L181" s="24">
        <f>L120+'Ne pas toucher'!H45</f>
        <v>0</v>
      </c>
      <c r="M181" s="13">
        <f>IF(M180&gt;0.001,M120+'Ne pas toucher'!I45,0)</f>
        <v>0</v>
      </c>
    </row>
    <row r="182" spans="1:13" x14ac:dyDescent="0.25">
      <c r="A182" s="1">
        <v>41</v>
      </c>
      <c r="B182" s="23">
        <f t="shared" si="7"/>
        <v>58209</v>
      </c>
      <c r="C182" s="24">
        <f>C121+'Ne pas toucher'!F46</f>
        <v>0</v>
      </c>
      <c r="D182" s="24">
        <f>D121+'Ne pas toucher'!G46</f>
        <v>0</v>
      </c>
      <c r="E182" s="24">
        <f>E121+'Ne pas toucher'!H46</f>
        <v>0</v>
      </c>
      <c r="F182" s="13">
        <f>F121+'Ne pas toucher'!I46</f>
        <v>0</v>
      </c>
      <c r="H182" s="1">
        <v>41</v>
      </c>
      <c r="I182" s="23">
        <f t="shared" si="8"/>
        <v>58209</v>
      </c>
      <c r="J182" s="24">
        <f>J121+'Ne pas toucher'!F46</f>
        <v>0</v>
      </c>
      <c r="K182" s="24">
        <f>K121+'Ne pas toucher'!G46</f>
        <v>0</v>
      </c>
      <c r="L182" s="24">
        <f>L121+'Ne pas toucher'!H46</f>
        <v>0</v>
      </c>
      <c r="M182" s="13">
        <f>IF(M181&gt;0.001,M121+'Ne pas toucher'!I46,0)</f>
        <v>0</v>
      </c>
    </row>
    <row r="183" spans="1:13" x14ac:dyDescent="0.25">
      <c r="A183" s="1">
        <v>42</v>
      </c>
      <c r="B183" s="23">
        <f t="shared" si="7"/>
        <v>58575</v>
      </c>
      <c r="C183" s="24">
        <f>C122+'Ne pas toucher'!F47</f>
        <v>0</v>
      </c>
      <c r="D183" s="24">
        <f>D122+'Ne pas toucher'!G47</f>
        <v>0</v>
      </c>
      <c r="E183" s="24">
        <f>E122+'Ne pas toucher'!H47</f>
        <v>0</v>
      </c>
      <c r="F183" s="13">
        <f>F122+'Ne pas toucher'!I47</f>
        <v>0</v>
      </c>
      <c r="H183" s="1">
        <v>42</v>
      </c>
      <c r="I183" s="23">
        <f t="shared" si="8"/>
        <v>58575</v>
      </c>
      <c r="J183" s="24">
        <f>J122+'Ne pas toucher'!F47</f>
        <v>0</v>
      </c>
      <c r="K183" s="24">
        <f>K122+'Ne pas toucher'!G47</f>
        <v>0</v>
      </c>
      <c r="L183" s="24">
        <f>L122+'Ne pas toucher'!H47</f>
        <v>0</v>
      </c>
      <c r="M183" s="13">
        <f>IF(M182&gt;0.001,M122+'Ne pas toucher'!I47,0)</f>
        <v>0</v>
      </c>
    </row>
    <row r="184" spans="1:13" x14ac:dyDescent="0.25">
      <c r="A184" s="1">
        <v>43</v>
      </c>
      <c r="B184" s="23">
        <f t="shared" si="7"/>
        <v>58940</v>
      </c>
      <c r="C184" s="24">
        <f>C123+'Ne pas toucher'!F48</f>
        <v>0</v>
      </c>
      <c r="D184" s="24">
        <f>D123+'Ne pas toucher'!G48</f>
        <v>0</v>
      </c>
      <c r="E184" s="24">
        <f>E123+'Ne pas toucher'!H48</f>
        <v>0</v>
      </c>
      <c r="F184" s="13">
        <f>F123+'Ne pas toucher'!I48</f>
        <v>0</v>
      </c>
      <c r="H184" s="1">
        <v>43</v>
      </c>
      <c r="I184" s="23">
        <f t="shared" si="8"/>
        <v>58940</v>
      </c>
      <c r="J184" s="24">
        <f>J123+'Ne pas toucher'!F48</f>
        <v>0</v>
      </c>
      <c r="K184" s="24">
        <f>K123+'Ne pas toucher'!G48</f>
        <v>0</v>
      </c>
      <c r="L184" s="24">
        <f>L123+'Ne pas toucher'!H48</f>
        <v>0</v>
      </c>
      <c r="M184" s="13">
        <f>IF(M183&gt;0.001,M123+'Ne pas toucher'!I48,0)</f>
        <v>0</v>
      </c>
    </row>
    <row r="185" spans="1:13" x14ac:dyDescent="0.25">
      <c r="A185" s="1">
        <v>44</v>
      </c>
      <c r="B185" s="23">
        <f t="shared" si="7"/>
        <v>59305</v>
      </c>
      <c r="C185" s="24">
        <f>C124+'Ne pas toucher'!F49</f>
        <v>0</v>
      </c>
      <c r="D185" s="24">
        <f>D124+'Ne pas toucher'!G49</f>
        <v>0</v>
      </c>
      <c r="E185" s="24">
        <f>E124+'Ne pas toucher'!H49</f>
        <v>0</v>
      </c>
      <c r="F185" s="13">
        <f>F124+'Ne pas toucher'!I49</f>
        <v>0</v>
      </c>
      <c r="H185" s="1">
        <v>44</v>
      </c>
      <c r="I185" s="23">
        <f t="shared" si="8"/>
        <v>59305</v>
      </c>
      <c r="J185" s="24">
        <f>J124+'Ne pas toucher'!F49</f>
        <v>0</v>
      </c>
      <c r="K185" s="24">
        <f>K124+'Ne pas toucher'!G49</f>
        <v>0</v>
      </c>
      <c r="L185" s="24">
        <f>L124+'Ne pas toucher'!H49</f>
        <v>0</v>
      </c>
      <c r="M185" s="13">
        <f>IF(M184&gt;0.001,M124+'Ne pas toucher'!I49,0)</f>
        <v>0</v>
      </c>
    </row>
    <row r="186" spans="1:13" x14ac:dyDescent="0.25">
      <c r="A186" s="1">
        <v>45</v>
      </c>
      <c r="B186" s="23">
        <f t="shared" si="7"/>
        <v>59670</v>
      </c>
      <c r="C186" s="24">
        <f>C125+'Ne pas toucher'!F50</f>
        <v>0</v>
      </c>
      <c r="D186" s="24">
        <f>D125+'Ne pas toucher'!G50</f>
        <v>0</v>
      </c>
      <c r="E186" s="24">
        <f>E125+'Ne pas toucher'!H50</f>
        <v>0</v>
      </c>
      <c r="F186" s="13">
        <f>F125+'Ne pas toucher'!I50</f>
        <v>0</v>
      </c>
      <c r="H186" s="1">
        <v>45</v>
      </c>
      <c r="I186" s="23">
        <f t="shared" si="8"/>
        <v>59670</v>
      </c>
      <c r="J186" s="24">
        <f>J125+'Ne pas toucher'!F50</f>
        <v>0</v>
      </c>
      <c r="K186" s="24">
        <f>K125+'Ne pas toucher'!G50</f>
        <v>0</v>
      </c>
      <c r="L186" s="24">
        <f>L125+'Ne pas toucher'!H50</f>
        <v>0</v>
      </c>
      <c r="M186" s="13">
        <f>IF(M185&gt;0.001,M125+'Ne pas toucher'!I50,0)</f>
        <v>0</v>
      </c>
    </row>
    <row r="187" spans="1:13" x14ac:dyDescent="0.25">
      <c r="A187" s="1">
        <v>46</v>
      </c>
      <c r="B187" s="23">
        <f t="shared" si="7"/>
        <v>60036</v>
      </c>
      <c r="C187" s="24">
        <f>C126+'Ne pas toucher'!F51</f>
        <v>0</v>
      </c>
      <c r="D187" s="24">
        <f>D126+'Ne pas toucher'!G51</f>
        <v>0</v>
      </c>
      <c r="E187" s="24">
        <f>E126+'Ne pas toucher'!H51</f>
        <v>0</v>
      </c>
      <c r="F187" s="13">
        <f>F126+'Ne pas toucher'!I51</f>
        <v>0</v>
      </c>
      <c r="H187" s="1">
        <v>46</v>
      </c>
      <c r="I187" s="23">
        <f t="shared" si="8"/>
        <v>60036</v>
      </c>
      <c r="J187" s="24">
        <f>J126+'Ne pas toucher'!F51</f>
        <v>0</v>
      </c>
      <c r="K187" s="24">
        <f>K126+'Ne pas toucher'!G51</f>
        <v>0</v>
      </c>
      <c r="L187" s="24">
        <f>L126+'Ne pas toucher'!H51</f>
        <v>0</v>
      </c>
      <c r="M187" s="13">
        <f>IF(M186&gt;0.001,M126+'Ne pas toucher'!I51,0)</f>
        <v>0</v>
      </c>
    </row>
    <row r="188" spans="1:13" x14ac:dyDescent="0.25">
      <c r="A188" s="1">
        <v>47</v>
      </c>
      <c r="B188" s="23">
        <f t="shared" si="7"/>
        <v>60401</v>
      </c>
      <c r="C188" s="24">
        <f>C127+'Ne pas toucher'!F52</f>
        <v>0</v>
      </c>
      <c r="D188" s="24">
        <f>D127+'Ne pas toucher'!G52</f>
        <v>0</v>
      </c>
      <c r="E188" s="24">
        <f>E127+'Ne pas toucher'!H52</f>
        <v>0</v>
      </c>
      <c r="F188" s="13">
        <f>F127+'Ne pas toucher'!I52</f>
        <v>0</v>
      </c>
      <c r="H188" s="1">
        <v>47</v>
      </c>
      <c r="I188" s="23">
        <f t="shared" si="8"/>
        <v>60401</v>
      </c>
      <c r="J188" s="24">
        <f>J127+'Ne pas toucher'!F52</f>
        <v>0</v>
      </c>
      <c r="K188" s="24">
        <f>K127+'Ne pas toucher'!G52</f>
        <v>0</v>
      </c>
      <c r="L188" s="24">
        <f>L127+'Ne pas toucher'!H52</f>
        <v>0</v>
      </c>
      <c r="M188" s="13">
        <f>IF(M187&gt;0.001,M127+'Ne pas toucher'!I52,0)</f>
        <v>0</v>
      </c>
    </row>
    <row r="189" spans="1:13" x14ac:dyDescent="0.25">
      <c r="A189" s="1">
        <v>48</v>
      </c>
      <c r="B189" s="23">
        <f t="shared" si="7"/>
        <v>60766</v>
      </c>
      <c r="C189" s="24">
        <f>C128+'Ne pas toucher'!F53</f>
        <v>0</v>
      </c>
      <c r="D189" s="24">
        <f>D128+'Ne pas toucher'!G53</f>
        <v>0</v>
      </c>
      <c r="E189" s="24">
        <f>E128+'Ne pas toucher'!H53</f>
        <v>0</v>
      </c>
      <c r="F189" s="13">
        <f>F128+'Ne pas toucher'!I53</f>
        <v>0</v>
      </c>
      <c r="H189" s="1">
        <v>48</v>
      </c>
      <c r="I189" s="23">
        <f t="shared" si="8"/>
        <v>60766</v>
      </c>
      <c r="J189" s="24">
        <f>J128+'Ne pas toucher'!F53</f>
        <v>0</v>
      </c>
      <c r="K189" s="24">
        <f>K128+'Ne pas toucher'!G53</f>
        <v>0</v>
      </c>
      <c r="L189" s="24">
        <f>L128+'Ne pas toucher'!H53</f>
        <v>0</v>
      </c>
      <c r="M189" s="13">
        <f>IF(M188&gt;0.001,M128+'Ne pas toucher'!I53,0)</f>
        <v>0</v>
      </c>
    </row>
    <row r="190" spans="1:13" x14ac:dyDescent="0.25">
      <c r="A190" s="1">
        <v>49</v>
      </c>
      <c r="B190" s="23">
        <f t="shared" si="7"/>
        <v>61131</v>
      </c>
      <c r="C190" s="24">
        <f>C129+'Ne pas toucher'!F54</f>
        <v>0</v>
      </c>
      <c r="D190" s="24">
        <f>D129+'Ne pas toucher'!G54</f>
        <v>0</v>
      </c>
      <c r="E190" s="24">
        <f>E129+'Ne pas toucher'!H54</f>
        <v>0</v>
      </c>
      <c r="F190" s="13">
        <f>F129+'Ne pas toucher'!I54</f>
        <v>0</v>
      </c>
      <c r="H190" s="1">
        <v>49</v>
      </c>
      <c r="I190" s="23">
        <f t="shared" si="8"/>
        <v>61131</v>
      </c>
      <c r="J190" s="24">
        <f>J129+'Ne pas toucher'!F54</f>
        <v>0</v>
      </c>
      <c r="K190" s="24">
        <f>K129+'Ne pas toucher'!G54</f>
        <v>0</v>
      </c>
      <c r="L190" s="24">
        <f>L129+'Ne pas toucher'!H54</f>
        <v>0</v>
      </c>
      <c r="M190" s="13">
        <f>IF(M189&gt;0.001,M129+'Ne pas toucher'!I54,0)</f>
        <v>0</v>
      </c>
    </row>
    <row r="191" spans="1:13" x14ac:dyDescent="0.25">
      <c r="A191" s="1">
        <v>50</v>
      </c>
      <c r="B191" s="23">
        <f t="shared" si="7"/>
        <v>61497</v>
      </c>
      <c r="C191" s="24">
        <f>C130+'Ne pas toucher'!F55</f>
        <v>0</v>
      </c>
      <c r="D191" s="24">
        <f>D130+'Ne pas toucher'!G55</f>
        <v>0</v>
      </c>
      <c r="E191" s="24">
        <f>E130+'Ne pas toucher'!H55</f>
        <v>0</v>
      </c>
      <c r="F191" s="13">
        <f>F130+'Ne pas toucher'!I55</f>
        <v>0</v>
      </c>
      <c r="H191" s="1">
        <v>50</v>
      </c>
      <c r="I191" s="23">
        <f t="shared" si="8"/>
        <v>61497</v>
      </c>
      <c r="J191" s="24">
        <f>J130+'Ne pas toucher'!F55</f>
        <v>0</v>
      </c>
      <c r="K191" s="24">
        <f>K130+'Ne pas toucher'!G55</f>
        <v>0</v>
      </c>
      <c r="L191" s="24">
        <f>L130+'Ne pas toucher'!H55</f>
        <v>0</v>
      </c>
      <c r="M191" s="13">
        <f>IF(M190&gt;0.001,M130+'Ne pas toucher'!I55,0)</f>
        <v>0</v>
      </c>
    </row>
    <row r="193" spans="2:11" ht="15.75" thickBot="1" x14ac:dyDescent="0.3"/>
    <row r="194" spans="2:11" ht="16.5" thickTop="1" thickBot="1" x14ac:dyDescent="0.3">
      <c r="B194" s="34" t="s">
        <v>71</v>
      </c>
      <c r="C194" s="35">
        <f>SUM(C142:C191)</f>
        <v>978732.53406986839</v>
      </c>
      <c r="D194" s="32"/>
      <c r="I194" s="36" t="s">
        <v>70</v>
      </c>
      <c r="J194" s="35">
        <f>SUM(J142:J191)</f>
        <v>964799.74440000008</v>
      </c>
      <c r="K194" s="32"/>
    </row>
    <row r="195" spans="2:11" ht="15.75" thickTop="1" x14ac:dyDescent="0.25">
      <c r="B195" s="33"/>
    </row>
  </sheetData>
  <sheetProtection password="8C11" sheet="1" objects="1" scenarios="1"/>
  <mergeCells count="3">
    <mergeCell ref="B65:E69"/>
    <mergeCell ref="B22:E23"/>
    <mergeCell ref="B47:E51"/>
  </mergeCells>
  <conditionalFormatting sqref="D61">
    <cfRule type="cellIs" dxfId="52" priority="24" operator="lessThan">
      <formula>550</formula>
    </cfRule>
    <cfRule type="cellIs" dxfId="51" priority="25" operator="greaterThan">
      <formula>650</formula>
    </cfRule>
    <cfRule type="cellIs" dxfId="50" priority="26" operator="between">
      <formula>550</formula>
      <formula>650</formula>
    </cfRule>
    <cfRule type="cellIs" dxfId="49" priority="65" operator="lessThan">
      <formula>600</formula>
    </cfRule>
  </conditionalFormatting>
  <conditionalFormatting sqref="C62">
    <cfRule type="cellIs" dxfId="48" priority="64" operator="lessThan">
      <formula>10</formula>
    </cfRule>
  </conditionalFormatting>
  <conditionalFormatting sqref="D43">
    <cfRule type="cellIs" dxfId="47" priority="9" operator="lessThan">
      <formula>550</formula>
    </cfRule>
    <cfRule type="cellIs" dxfId="46" priority="21" operator="greaterThan">
      <formula>650</formula>
    </cfRule>
    <cfRule type="cellIs" dxfId="45" priority="22" operator="between">
      <formula>550</formula>
      <formula>650</formula>
    </cfRule>
    <cfRule type="cellIs" dxfId="44" priority="23" operator="lessThan">
      <formula>550</formula>
    </cfRule>
    <cfRule type="cellIs" dxfId="43" priority="63" operator="lessThan">
      <formula>600</formula>
    </cfRule>
  </conditionalFormatting>
  <conditionalFormatting sqref="C44:C45">
    <cfRule type="cellIs" dxfId="42" priority="54" operator="lessThan">
      <formula>9</formula>
    </cfRule>
    <cfRule type="cellIs" dxfId="41" priority="55" operator="greaterThan">
      <formula>11</formula>
    </cfRule>
    <cfRule type="cellIs" dxfId="40" priority="56" operator="between">
      <formula>9</formula>
      <formula>11</formula>
    </cfRule>
    <cfRule type="cellIs" dxfId="39" priority="62" operator="lessThan">
      <formula>10</formula>
    </cfRule>
  </conditionalFormatting>
  <conditionalFormatting sqref="D44:D45">
    <cfRule type="cellIs" dxfId="38" priority="51" operator="lessThan">
      <formula>9</formula>
    </cfRule>
    <cfRule type="cellIs" dxfId="37" priority="52" operator="between">
      <formula>9</formula>
      <formula>11</formula>
    </cfRule>
    <cfRule type="cellIs" dxfId="36" priority="53" operator="greaterThan">
      <formula>11</formula>
    </cfRule>
    <cfRule type="cellIs" dxfId="35" priority="57" operator="between">
      <formula>20</formula>
      <formula>30</formula>
    </cfRule>
    <cfRule type="cellIs" dxfId="34" priority="60" operator="lessThan">
      <formula>20</formula>
    </cfRule>
    <cfRule type="cellIs" dxfId="33" priority="61" operator="greaterThan">
      <formula>30</formula>
    </cfRule>
  </conditionalFormatting>
  <conditionalFormatting sqref="D62">
    <cfRule type="cellIs" dxfId="32" priority="58" operator="lessThan">
      <formula>20</formula>
    </cfRule>
    <cfRule type="cellIs" dxfId="31" priority="59" operator="greaterThan">
      <formula>30</formula>
    </cfRule>
  </conditionalFormatting>
  <conditionalFormatting sqref="C62:D62">
    <cfRule type="cellIs" dxfId="30" priority="34" operator="greaterThan">
      <formula>16</formula>
    </cfRule>
    <cfRule type="cellIs" dxfId="29" priority="35" operator="between">
      <formula>12</formula>
      <formula>16</formula>
    </cfRule>
    <cfRule type="cellIs" dxfId="28" priority="36" operator="lessThan">
      <formula>12</formula>
    </cfRule>
  </conditionalFormatting>
  <conditionalFormatting sqref="C44:D45">
    <cfRule type="cellIs" dxfId="27" priority="31" operator="greaterThan">
      <formula>16</formula>
    </cfRule>
    <cfRule type="cellIs" dxfId="26" priority="32" operator="between">
      <formula>12</formula>
      <formula>16</formula>
    </cfRule>
    <cfRule type="cellIs" dxfId="25" priority="33" operator="lessThan">
      <formula>12</formula>
    </cfRule>
  </conditionalFormatting>
  <conditionalFormatting sqref="C16">
    <cfRule type="cellIs" dxfId="24" priority="11" operator="lessThan">
      <formula>$F$16</formula>
    </cfRule>
    <cfRule type="cellIs" dxfId="23" priority="13" operator="equal">
      <formula>$F$16</formula>
    </cfRule>
    <cfRule type="cellIs" dxfId="22" priority="15" operator="greaterThan">
      <formula>$F$16</formula>
    </cfRule>
  </conditionalFormatting>
  <conditionalFormatting sqref="F16">
    <cfRule type="cellIs" dxfId="21" priority="10" operator="greaterThan">
      <formula>$C$16</formula>
    </cfRule>
    <cfRule type="cellIs" dxfId="20" priority="12" operator="equal">
      <formula>$C$16</formula>
    </cfRule>
    <cfRule type="cellIs" dxfId="19" priority="14" operator="lessThan">
      <formula>$C$16</formula>
    </cfRule>
  </conditionalFormatting>
  <conditionalFormatting sqref="C58:D62">
    <cfRule type="duplicateValues" dxfId="18" priority="8"/>
  </conditionalFormatting>
  <conditionalFormatting sqref="C63">
    <cfRule type="cellIs" dxfId="17" priority="7" operator="lessThan">
      <formula>10</formula>
    </cfRule>
  </conditionalFormatting>
  <conditionalFormatting sqref="D63">
    <cfRule type="cellIs" dxfId="16" priority="5" operator="lessThan">
      <formula>20</formula>
    </cfRule>
    <cfRule type="cellIs" dxfId="15" priority="6" operator="greaterThan">
      <formula>30</formula>
    </cfRule>
  </conditionalFormatting>
  <conditionalFormatting sqref="C63:D63">
    <cfRule type="cellIs" dxfId="14" priority="2" operator="greaterThan">
      <formula>16</formula>
    </cfRule>
    <cfRule type="cellIs" dxfId="13" priority="3" operator="between">
      <formula>12</formula>
      <formula>16</formula>
    </cfRule>
    <cfRule type="cellIs" dxfId="12" priority="4" operator="lessThan">
      <formula>12</formula>
    </cfRule>
  </conditionalFormatting>
  <conditionalFormatting sqref="C63:D63">
    <cfRule type="duplicateValues" dxfId="11" priority="1"/>
  </conditionalFormatting>
  <pageMargins left="0.7" right="0.7" top="0.75" bottom="0.75" header="0.3" footer="0.3"/>
  <pageSetup paperSize="8" scale="37" orientation="portrait" r:id="rId1"/>
  <drawing r:id="rId2"/>
  <extLst>
    <ext xmlns:x14="http://schemas.microsoft.com/office/spreadsheetml/2009/9/main" uri="{78C0D931-6437-407d-A8EE-F0AAD7539E65}">
      <x14:conditionalFormattings>
        <x14:conditionalFormatting xmlns:xm="http://schemas.microsoft.com/office/excel/2006/main">
          <x14:cfRule type="cellIs" priority="42" operator="greaterThan" id="{64782D0C-4F4C-4318-A985-2E1C50C9BC37}">
            <xm:f>'A remplir'!$H$40</xm:f>
            <x14:dxf>
              <font>
                <color rgb="FF9C0006"/>
              </font>
              <fill>
                <patternFill>
                  <bgColor rgb="FFFFC7CE"/>
                </patternFill>
              </fill>
            </x14:dxf>
          </x14:cfRule>
          <x14:cfRule type="cellIs" priority="43" operator="lessThan" id="{47A2B39F-D6A9-4DE1-AE57-B936F6041101}">
            <xm:f>'A remplir'!$H$40</xm:f>
            <x14:dxf>
              <font>
                <color rgb="FF006100"/>
              </font>
              <fill>
                <patternFill>
                  <bgColor rgb="FFC6EFCE"/>
                </patternFill>
              </fill>
            </x14:dxf>
          </x14:cfRule>
          <x14:cfRule type="cellIs" priority="46" operator="greaterThan" id="{F0DF9E7E-BCC2-4431-ADA3-E814F6F423A7}">
            <xm:f>'A remplir'!$H$53</xm:f>
            <x14:dxf>
              <font>
                <color rgb="FF9C0006"/>
              </font>
              <fill>
                <patternFill>
                  <bgColor rgb="FFFFC7CE"/>
                </patternFill>
              </fill>
            </x14:dxf>
          </x14:cfRule>
          <x14:cfRule type="cellIs" priority="47" operator="lessThan" id="{8A291488-814F-4FF6-B88F-D40E0137209F}">
            <xm:f>'A remplir'!$H$53</xm:f>
            <x14:dxf>
              <font>
                <color rgb="FF006100"/>
              </font>
              <fill>
                <patternFill>
                  <bgColor rgb="FFC6EFCE"/>
                </patternFill>
              </fill>
            </x14:dxf>
          </x14:cfRule>
          <xm:sqref>C41</xm:sqref>
        </x14:conditionalFormatting>
        <x14:conditionalFormatting xmlns:xm="http://schemas.microsoft.com/office/excel/2006/main">
          <x14:cfRule type="cellIs" priority="44" operator="greaterThan" id="{EC3644C3-897F-42CC-A856-C9F59475FC5D}">
            <xm:f>'A remplir'!$H$40</xm:f>
            <x14:dxf>
              <font>
                <color rgb="FF9C0006"/>
              </font>
              <fill>
                <patternFill>
                  <bgColor rgb="FFFFC7CE"/>
                </patternFill>
              </fill>
            </x14:dxf>
          </x14:cfRule>
          <x14:cfRule type="cellIs" priority="45" operator="lessThan" id="{4C25130E-C710-44B9-AB88-CD90D666EDFF}">
            <xm:f>'A remplir'!$H$40</xm:f>
            <x14:dxf>
              <font>
                <color rgb="FF006100"/>
              </font>
              <fill>
                <patternFill>
                  <bgColor rgb="FFC6EFCE"/>
                </patternFill>
              </fill>
            </x14:dxf>
          </x14:cfRule>
          <xm:sqref>D41</xm:sqref>
        </x14:conditionalFormatting>
        <x14:conditionalFormatting xmlns:xm="http://schemas.microsoft.com/office/excel/2006/main">
          <x14:cfRule type="cellIs" priority="39" operator="greaterThan" id="{114ECA8B-7BA4-435F-9DD4-676B4D969762}">
            <xm:f>'A remplir'!$H$40</xm:f>
            <x14:dxf>
              <font>
                <color rgb="FF9C0006"/>
              </font>
              <fill>
                <patternFill>
                  <bgColor rgb="FFFFC7CE"/>
                </patternFill>
              </fill>
            </x14:dxf>
          </x14:cfRule>
          <x14:cfRule type="cellIs" priority="40" operator="lessThan" id="{E91C9FCC-E6F5-44CD-A470-41D4BDB9C1DD}">
            <xm:f>'A remplir'!$H$40</xm:f>
            <x14:dxf>
              <font>
                <color rgb="FF006100"/>
              </font>
              <fill>
                <patternFill>
                  <bgColor rgb="FFC6EFCE"/>
                </patternFill>
              </fill>
            </x14:dxf>
          </x14:cfRule>
          <x14:cfRule type="cellIs" priority="41" operator="lessThan" id="{FF8D0C27-7760-40DB-9F32-C2A824CBA6A3}">
            <xm:f>'A remplir'!$H$40</xm:f>
            <x14:dxf>
              <font>
                <color rgb="FF9C0006"/>
              </font>
              <fill>
                <patternFill>
                  <bgColor rgb="FFFFC7CE"/>
                </patternFill>
              </fill>
            </x14:dxf>
          </x14:cfRule>
          <xm:sqref>C59</xm:sqref>
        </x14:conditionalFormatting>
        <x14:conditionalFormatting xmlns:xm="http://schemas.microsoft.com/office/excel/2006/main">
          <x14:cfRule type="cellIs" priority="37" operator="lessThan" id="{D740EC17-1DA5-4BC9-A6E3-C413209C8E2E}">
            <xm:f>'A remplir'!$H$40</xm:f>
            <x14:dxf>
              <font>
                <color rgb="FF006100"/>
              </font>
              <fill>
                <patternFill>
                  <bgColor rgb="FFC6EFCE"/>
                </patternFill>
              </fill>
            </x14:dxf>
          </x14:cfRule>
          <x14:cfRule type="cellIs" priority="38" operator="greaterThan" id="{1C85EEE4-ECAB-4B7D-9B4D-313C9AEA53F7}">
            <xm:f>'A remplir'!$H$40</xm:f>
            <x14:dxf>
              <font>
                <color rgb="FF9C0006"/>
              </font>
              <fill>
                <patternFill>
                  <bgColor rgb="FFFFC7CE"/>
                </patternFill>
              </fill>
            </x14:dxf>
          </x14:cfRule>
          <xm:sqref>D59</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B41"/>
  <sheetViews>
    <sheetView workbookViewId="0">
      <selection activeCell="I36" sqref="I36"/>
    </sheetView>
  </sheetViews>
  <sheetFormatPr baseColWidth="10" defaultRowHeight="15" x14ac:dyDescent="0.25"/>
  <cols>
    <col min="8" max="8" width="11.42578125" customWidth="1"/>
  </cols>
  <sheetData>
    <row r="3" spans="2:2" ht="15.75" x14ac:dyDescent="0.25">
      <c r="B3" s="28" t="s">
        <v>61</v>
      </c>
    </row>
    <row r="22" spans="2:2" ht="15.75" x14ac:dyDescent="0.25">
      <c r="B22" s="28" t="s">
        <v>62</v>
      </c>
    </row>
    <row r="41" spans="2:2" x14ac:dyDescent="0.25">
      <c r="B41" s="8" t="s">
        <v>107</v>
      </c>
    </row>
  </sheetData>
  <sheetProtection password="8C11" sheet="1" objects="1" scenarios="1"/>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dimension ref="A1:I58"/>
  <sheetViews>
    <sheetView workbookViewId="0">
      <selection activeCell="I6" sqref="I6"/>
    </sheetView>
  </sheetViews>
  <sheetFormatPr baseColWidth="10" defaultRowHeight="15" x14ac:dyDescent="0.25"/>
  <cols>
    <col min="1" max="1" width="46.28515625" customWidth="1"/>
    <col min="5" max="5" width="11.5703125" customWidth="1"/>
    <col min="6" max="6" width="17.7109375" customWidth="1"/>
    <col min="7" max="7" width="18.28515625" customWidth="1"/>
    <col min="8" max="8" width="19" customWidth="1"/>
    <col min="9" max="9" width="19.85546875" customWidth="1"/>
  </cols>
  <sheetData>
    <row r="1" spans="1:9" x14ac:dyDescent="0.25">
      <c r="A1" s="2" t="s">
        <v>0</v>
      </c>
    </row>
    <row r="2" spans="1:9" x14ac:dyDescent="0.25">
      <c r="A2" s="31" t="s">
        <v>60</v>
      </c>
    </row>
    <row r="3" spans="1:9" x14ac:dyDescent="0.25">
      <c r="A3" s="31" t="s">
        <v>59</v>
      </c>
    </row>
    <row r="4" spans="1:9" x14ac:dyDescent="0.25">
      <c r="A4" s="1" t="s">
        <v>79</v>
      </c>
      <c r="D4" t="s">
        <v>49</v>
      </c>
    </row>
    <row r="5" spans="1:9" ht="30" x14ac:dyDescent="0.25">
      <c r="A5" s="1" t="s">
        <v>80</v>
      </c>
      <c r="D5" s="2" t="s">
        <v>40</v>
      </c>
      <c r="E5" s="2" t="s">
        <v>41</v>
      </c>
      <c r="F5" s="20" t="s">
        <v>37</v>
      </c>
      <c r="G5" s="2" t="s">
        <v>43</v>
      </c>
      <c r="H5" s="2" t="s">
        <v>46</v>
      </c>
      <c r="I5" s="19" t="s">
        <v>42</v>
      </c>
    </row>
    <row r="6" spans="1:9" x14ac:dyDescent="0.25">
      <c r="A6" s="30" t="s">
        <v>68</v>
      </c>
      <c r="D6" s="1">
        <v>1</v>
      </c>
      <c r="E6" s="23">
        <f>'A remplir'!$B$17</f>
        <v>43276</v>
      </c>
      <c r="F6" s="24">
        <f>G6+H6</f>
        <v>0</v>
      </c>
      <c r="G6" s="24">
        <f>IF('Ne pas toucher'!I6&gt;0,'A remplir'!B$66/'A remplir'!D$66,0)</f>
        <v>0</v>
      </c>
      <c r="H6" s="24">
        <f>I6*'A remplir'!F$66</f>
        <v>0</v>
      </c>
      <c r="I6" s="13">
        <f>'A remplir'!B66-('A remplir'!B66/'A remplir'!D66)</f>
        <v>0</v>
      </c>
    </row>
    <row r="7" spans="1:9" x14ac:dyDescent="0.25">
      <c r="D7" s="1">
        <v>2</v>
      </c>
      <c r="E7" s="23">
        <f>DATE(YEAR(E6)+1,MONTH(E6),DAY(E6))</f>
        <v>43641</v>
      </c>
      <c r="F7" s="24">
        <f t="shared" ref="F7:F55" si="0">G7+H7</f>
        <v>0</v>
      </c>
      <c r="G7" s="24">
        <f>IF('Ne pas toucher'!I6&gt;0,'A remplir'!B$66/'A remplir'!D$66,0)</f>
        <v>0</v>
      </c>
      <c r="H7" s="24">
        <f>I6*'A remplir'!F$66</f>
        <v>0</v>
      </c>
      <c r="I7" s="13">
        <f>IF(I6&gt;0,I6-G6,0)</f>
        <v>0</v>
      </c>
    </row>
    <row r="8" spans="1:9" x14ac:dyDescent="0.25">
      <c r="D8" s="1">
        <v>3</v>
      </c>
      <c r="E8" s="23">
        <f t="shared" ref="E8:E55" si="1">DATE(YEAR(E7)+1,MONTH(E7),DAY(E7))</f>
        <v>44007</v>
      </c>
      <c r="F8" s="24">
        <f t="shared" si="0"/>
        <v>0</v>
      </c>
      <c r="G8" s="24">
        <f>IF('Ne pas toucher'!I7&gt;0,'A remplir'!B$66/'A remplir'!D$66,0)</f>
        <v>0</v>
      </c>
      <c r="H8" s="24">
        <f>I7*'A remplir'!F$66</f>
        <v>0</v>
      </c>
      <c r="I8" s="13">
        <f t="shared" ref="I8:I55" si="2">IF(I7&gt;0,I7-G7,0)</f>
        <v>0</v>
      </c>
    </row>
    <row r="9" spans="1:9" x14ac:dyDescent="0.25">
      <c r="A9" s="2" t="s">
        <v>15</v>
      </c>
      <c r="D9" s="1">
        <v>4</v>
      </c>
      <c r="E9" s="23">
        <f t="shared" si="1"/>
        <v>44372</v>
      </c>
      <c r="F9" s="24">
        <f t="shared" si="0"/>
        <v>0</v>
      </c>
      <c r="G9" s="24">
        <f>IF('Ne pas toucher'!I8&gt;0,'A remplir'!B$66/'A remplir'!D$66,0)</f>
        <v>0</v>
      </c>
      <c r="H9" s="24">
        <f>I8*'A remplir'!F$66</f>
        <v>0</v>
      </c>
      <c r="I9" s="13">
        <f t="shared" si="2"/>
        <v>0</v>
      </c>
    </row>
    <row r="10" spans="1:9" x14ac:dyDescent="0.25">
      <c r="A10" s="1" t="s">
        <v>18</v>
      </c>
      <c r="D10" s="1">
        <v>5</v>
      </c>
      <c r="E10" s="23">
        <f t="shared" si="1"/>
        <v>44737</v>
      </c>
      <c r="F10" s="24">
        <f t="shared" si="0"/>
        <v>0</v>
      </c>
      <c r="G10" s="24">
        <f>IF('Ne pas toucher'!I9&gt;0,'A remplir'!B$66/'A remplir'!D$66,0)</f>
        <v>0</v>
      </c>
      <c r="H10" s="24">
        <f>I9*'A remplir'!F$66</f>
        <v>0</v>
      </c>
      <c r="I10" s="13">
        <f t="shared" si="2"/>
        <v>0</v>
      </c>
    </row>
    <row r="11" spans="1:9" x14ac:dyDescent="0.25">
      <c r="A11" s="1" t="s">
        <v>19</v>
      </c>
      <c r="D11" s="1">
        <v>6</v>
      </c>
      <c r="E11" s="23">
        <f t="shared" si="1"/>
        <v>45102</v>
      </c>
      <c r="F11" s="24">
        <f t="shared" si="0"/>
        <v>0</v>
      </c>
      <c r="G11" s="24">
        <f>IF('Ne pas toucher'!I10&gt;0,'A remplir'!B$66/'A remplir'!D$66,0)</f>
        <v>0</v>
      </c>
      <c r="H11" s="24">
        <f>I10*'A remplir'!F$66</f>
        <v>0</v>
      </c>
      <c r="I11" s="13">
        <f t="shared" si="2"/>
        <v>0</v>
      </c>
    </row>
    <row r="12" spans="1:9" x14ac:dyDescent="0.25">
      <c r="A12" s="1" t="s">
        <v>20</v>
      </c>
      <c r="D12" s="1">
        <v>7</v>
      </c>
      <c r="E12" s="23">
        <f t="shared" si="1"/>
        <v>45468</v>
      </c>
      <c r="F12" s="24">
        <f t="shared" si="0"/>
        <v>0</v>
      </c>
      <c r="G12" s="24">
        <f>IF('Ne pas toucher'!I11&gt;0,'A remplir'!B$66/'A remplir'!D$66,0)</f>
        <v>0</v>
      </c>
      <c r="H12" s="24">
        <f>I11*'A remplir'!F$66</f>
        <v>0</v>
      </c>
      <c r="I12" s="13">
        <f t="shared" si="2"/>
        <v>0</v>
      </c>
    </row>
    <row r="13" spans="1:9" x14ac:dyDescent="0.25">
      <c r="A13" s="1" t="s">
        <v>44</v>
      </c>
      <c r="D13" s="1">
        <v>8</v>
      </c>
      <c r="E13" s="23">
        <f t="shared" si="1"/>
        <v>45833</v>
      </c>
      <c r="F13" s="24">
        <f t="shared" si="0"/>
        <v>0</v>
      </c>
      <c r="G13" s="24">
        <f>IF('Ne pas toucher'!I12&gt;0,'A remplir'!B$66/'A remplir'!D$66,0)</f>
        <v>0</v>
      </c>
      <c r="H13" s="24">
        <f>I12*'A remplir'!F$66</f>
        <v>0</v>
      </c>
      <c r="I13" s="13">
        <f t="shared" si="2"/>
        <v>0</v>
      </c>
    </row>
    <row r="14" spans="1:9" x14ac:dyDescent="0.25">
      <c r="D14" s="1">
        <v>9</v>
      </c>
      <c r="E14" s="23">
        <f t="shared" si="1"/>
        <v>46198</v>
      </c>
      <c r="F14" s="24">
        <f t="shared" si="0"/>
        <v>0</v>
      </c>
      <c r="G14" s="24">
        <f>IF('Ne pas toucher'!I13&gt;0,'A remplir'!B$66/'A remplir'!D$66,0)</f>
        <v>0</v>
      </c>
      <c r="H14" s="24">
        <f>I13*'A remplir'!F$66</f>
        <v>0</v>
      </c>
      <c r="I14" s="13">
        <f t="shared" si="2"/>
        <v>0</v>
      </c>
    </row>
    <row r="15" spans="1:9" x14ac:dyDescent="0.25">
      <c r="D15" s="1">
        <v>10</v>
      </c>
      <c r="E15" s="23">
        <f t="shared" si="1"/>
        <v>46563</v>
      </c>
      <c r="F15" s="24">
        <f t="shared" si="0"/>
        <v>0</v>
      </c>
      <c r="G15" s="24">
        <f>IF('Ne pas toucher'!I14&gt;0,'A remplir'!B$66/'A remplir'!D$66,0)</f>
        <v>0</v>
      </c>
      <c r="H15" s="24">
        <f>I14*'A remplir'!F$66</f>
        <v>0</v>
      </c>
      <c r="I15" s="13">
        <f t="shared" si="2"/>
        <v>0</v>
      </c>
    </row>
    <row r="16" spans="1:9" x14ac:dyDescent="0.25">
      <c r="D16" s="1">
        <v>11</v>
      </c>
      <c r="E16" s="23">
        <f t="shared" si="1"/>
        <v>46929</v>
      </c>
      <c r="F16" s="24">
        <f t="shared" si="0"/>
        <v>0</v>
      </c>
      <c r="G16" s="24">
        <f>IF('Ne pas toucher'!I15&gt;0,'A remplir'!B$66/'A remplir'!D$66,0)</f>
        <v>0</v>
      </c>
      <c r="H16" s="24">
        <f>I15*'A remplir'!F$66</f>
        <v>0</v>
      </c>
      <c r="I16" s="13">
        <f t="shared" si="2"/>
        <v>0</v>
      </c>
    </row>
    <row r="17" spans="1:9" x14ac:dyDescent="0.25">
      <c r="A17" s="2" t="s">
        <v>16</v>
      </c>
      <c r="D17" s="1">
        <v>12</v>
      </c>
      <c r="E17" s="23">
        <f t="shared" si="1"/>
        <v>47294</v>
      </c>
      <c r="F17" s="24">
        <f t="shared" si="0"/>
        <v>0</v>
      </c>
      <c r="G17" s="24">
        <f>IF('Ne pas toucher'!I16&gt;0,'A remplir'!B$66/'A remplir'!D$66,0)</f>
        <v>0</v>
      </c>
      <c r="H17" s="24">
        <f>I16*'A remplir'!F$66</f>
        <v>0</v>
      </c>
      <c r="I17" s="13">
        <f t="shared" si="2"/>
        <v>0</v>
      </c>
    </row>
    <row r="18" spans="1:9" x14ac:dyDescent="0.25">
      <c r="A18" s="1" t="s">
        <v>88</v>
      </c>
      <c r="D18" s="1">
        <v>13</v>
      </c>
      <c r="E18" s="23">
        <f t="shared" si="1"/>
        <v>47659</v>
      </c>
      <c r="F18" s="24">
        <f t="shared" si="0"/>
        <v>0</v>
      </c>
      <c r="G18" s="24">
        <f>IF('Ne pas toucher'!I17&gt;0,'A remplir'!B$66/'A remplir'!D$66,0)</f>
        <v>0</v>
      </c>
      <c r="H18" s="24">
        <f>I17*'A remplir'!F$66</f>
        <v>0</v>
      </c>
      <c r="I18" s="13">
        <f t="shared" si="2"/>
        <v>0</v>
      </c>
    </row>
    <row r="19" spans="1:9" x14ac:dyDescent="0.25">
      <c r="A19" s="1" t="s">
        <v>89</v>
      </c>
      <c r="D19" s="1">
        <v>14</v>
      </c>
      <c r="E19" s="23">
        <f t="shared" si="1"/>
        <v>48024</v>
      </c>
      <c r="F19" s="24">
        <f t="shared" si="0"/>
        <v>0</v>
      </c>
      <c r="G19" s="24">
        <f>IF('Ne pas toucher'!I18&gt;0,'A remplir'!B$66/'A remplir'!D$66,0)</f>
        <v>0</v>
      </c>
      <c r="H19" s="24">
        <f>I18*'A remplir'!F$66</f>
        <v>0</v>
      </c>
      <c r="I19" s="13">
        <f>IF(I18&gt;0,I18-G18,0)</f>
        <v>0</v>
      </c>
    </row>
    <row r="20" spans="1:9" x14ac:dyDescent="0.25">
      <c r="A20" s="1" t="s">
        <v>90</v>
      </c>
      <c r="D20" s="1">
        <v>15</v>
      </c>
      <c r="E20" s="23">
        <f t="shared" si="1"/>
        <v>48390</v>
      </c>
      <c r="F20" s="24">
        <f t="shared" si="0"/>
        <v>0</v>
      </c>
      <c r="G20" s="24">
        <f>IF('Ne pas toucher'!I19&gt;0,'A remplir'!B$66/'A remplir'!D$66,0)</f>
        <v>0</v>
      </c>
      <c r="H20" s="24">
        <f>I19*'A remplir'!F$66</f>
        <v>0</v>
      </c>
      <c r="I20" s="13">
        <f t="shared" si="2"/>
        <v>0</v>
      </c>
    </row>
    <row r="21" spans="1:9" x14ac:dyDescent="0.25">
      <c r="A21" s="1" t="s">
        <v>91</v>
      </c>
      <c r="D21" s="1">
        <v>16</v>
      </c>
      <c r="E21" s="23">
        <f t="shared" si="1"/>
        <v>48755</v>
      </c>
      <c r="F21" s="24">
        <f t="shared" si="0"/>
        <v>0</v>
      </c>
      <c r="G21" s="24">
        <f>IF('Ne pas toucher'!I20&gt;0,'A remplir'!B$66/'A remplir'!D$66,0)</f>
        <v>0</v>
      </c>
      <c r="H21" s="24">
        <f>I20*'A remplir'!F$66</f>
        <v>0</v>
      </c>
      <c r="I21" s="13">
        <f t="shared" si="2"/>
        <v>0</v>
      </c>
    </row>
    <row r="22" spans="1:9" x14ac:dyDescent="0.25">
      <c r="A22" s="1" t="s">
        <v>93</v>
      </c>
      <c r="D22" s="1">
        <v>17</v>
      </c>
      <c r="E22" s="23">
        <f t="shared" si="1"/>
        <v>49120</v>
      </c>
      <c r="F22" s="24">
        <f t="shared" si="0"/>
        <v>0</v>
      </c>
      <c r="G22" s="24">
        <f>IF('Ne pas toucher'!I21&gt;0,'A remplir'!B$66/'A remplir'!D$66,0)</f>
        <v>0</v>
      </c>
      <c r="H22" s="24">
        <f>I21*'A remplir'!F$66</f>
        <v>0</v>
      </c>
      <c r="I22" s="13">
        <f t="shared" si="2"/>
        <v>0</v>
      </c>
    </row>
    <row r="23" spans="1:9" x14ac:dyDescent="0.25">
      <c r="A23" s="1" t="s">
        <v>92</v>
      </c>
      <c r="D23" s="1">
        <v>18</v>
      </c>
      <c r="E23" s="23">
        <f t="shared" si="1"/>
        <v>49485</v>
      </c>
      <c r="F23" s="24">
        <f t="shared" si="0"/>
        <v>0</v>
      </c>
      <c r="G23" s="24">
        <f>IF('Ne pas toucher'!I22&gt;0,'A remplir'!B$66/'A remplir'!D$66,0)</f>
        <v>0</v>
      </c>
      <c r="H23" s="24">
        <f>I22*'A remplir'!F$66</f>
        <v>0</v>
      </c>
      <c r="I23" s="13">
        <f t="shared" si="2"/>
        <v>0</v>
      </c>
    </row>
    <row r="24" spans="1:9" x14ac:dyDescent="0.25">
      <c r="D24" s="1">
        <v>19</v>
      </c>
      <c r="E24" s="23">
        <f t="shared" si="1"/>
        <v>49851</v>
      </c>
      <c r="F24" s="24">
        <f t="shared" si="0"/>
        <v>0</v>
      </c>
      <c r="G24" s="24">
        <f>IF('Ne pas toucher'!I23&gt;0,'A remplir'!B$66/'A remplir'!D$66,0)</f>
        <v>0</v>
      </c>
      <c r="H24" s="24">
        <f>I23*'A remplir'!F$66</f>
        <v>0</v>
      </c>
      <c r="I24" s="13">
        <f t="shared" si="2"/>
        <v>0</v>
      </c>
    </row>
    <row r="25" spans="1:9" x14ac:dyDescent="0.25">
      <c r="D25" s="1">
        <v>20</v>
      </c>
      <c r="E25" s="23">
        <f t="shared" si="1"/>
        <v>50216</v>
      </c>
      <c r="F25" s="24">
        <f t="shared" si="0"/>
        <v>0</v>
      </c>
      <c r="G25" s="24">
        <f>IF('Ne pas toucher'!I24&gt;0,'A remplir'!B$66/'A remplir'!D$66,0)</f>
        <v>0</v>
      </c>
      <c r="H25" s="24">
        <f>I24*'A remplir'!F$66</f>
        <v>0</v>
      </c>
      <c r="I25" s="13">
        <f t="shared" si="2"/>
        <v>0</v>
      </c>
    </row>
    <row r="26" spans="1:9" x14ac:dyDescent="0.25">
      <c r="D26" s="1">
        <v>21</v>
      </c>
      <c r="E26" s="23">
        <f t="shared" si="1"/>
        <v>50581</v>
      </c>
      <c r="F26" s="24">
        <f t="shared" si="0"/>
        <v>0</v>
      </c>
      <c r="G26" s="24">
        <f>IF('Ne pas toucher'!I25&gt;0,'A remplir'!B$66/'A remplir'!D$66,0)</f>
        <v>0</v>
      </c>
      <c r="H26" s="24">
        <f>I25*'A remplir'!F$66</f>
        <v>0</v>
      </c>
      <c r="I26" s="13">
        <f t="shared" si="2"/>
        <v>0</v>
      </c>
    </row>
    <row r="27" spans="1:9" x14ac:dyDescent="0.25">
      <c r="D27" s="1">
        <v>22</v>
      </c>
      <c r="E27" s="23">
        <f t="shared" si="1"/>
        <v>50946</v>
      </c>
      <c r="F27" s="24">
        <f t="shared" si="0"/>
        <v>0</v>
      </c>
      <c r="G27" s="24">
        <f>IF('Ne pas toucher'!I26&gt;0,'A remplir'!B$66/'A remplir'!D$66,0)</f>
        <v>0</v>
      </c>
      <c r="H27" s="24">
        <f>I26*'A remplir'!F$66</f>
        <v>0</v>
      </c>
      <c r="I27" s="13">
        <f t="shared" si="2"/>
        <v>0</v>
      </c>
    </row>
    <row r="28" spans="1:9" x14ac:dyDescent="0.25">
      <c r="A28" s="2" t="s">
        <v>83</v>
      </c>
      <c r="D28" s="1">
        <v>23</v>
      </c>
      <c r="E28" s="23">
        <f t="shared" si="1"/>
        <v>51312</v>
      </c>
      <c r="F28" s="24">
        <f t="shared" si="0"/>
        <v>0</v>
      </c>
      <c r="G28" s="24">
        <f>IF('Ne pas toucher'!I27&gt;0,'A remplir'!B$66/'A remplir'!D$66,0)</f>
        <v>0</v>
      </c>
      <c r="H28" s="24">
        <f>I27*'A remplir'!F$66</f>
        <v>0</v>
      </c>
      <c r="I28" s="13">
        <f t="shared" si="2"/>
        <v>0</v>
      </c>
    </row>
    <row r="29" spans="1:9" x14ac:dyDescent="0.25">
      <c r="A29" s="1" t="s">
        <v>52</v>
      </c>
      <c r="D29" s="1">
        <v>24</v>
      </c>
      <c r="E29" s="23">
        <f t="shared" si="1"/>
        <v>51677</v>
      </c>
      <c r="F29" s="24">
        <f t="shared" si="0"/>
        <v>0</v>
      </c>
      <c r="G29" s="24">
        <f>IF('Ne pas toucher'!I28&gt;0,'A remplir'!B$66/'A remplir'!D$66,0)</f>
        <v>0</v>
      </c>
      <c r="H29" s="24">
        <f>I28*'A remplir'!F$66</f>
        <v>0</v>
      </c>
      <c r="I29" s="13">
        <f t="shared" si="2"/>
        <v>0</v>
      </c>
    </row>
    <row r="30" spans="1:9" x14ac:dyDescent="0.25">
      <c r="A30" s="1" t="s">
        <v>53</v>
      </c>
      <c r="D30" s="1">
        <v>25</v>
      </c>
      <c r="E30" s="23">
        <f t="shared" si="1"/>
        <v>52042</v>
      </c>
      <c r="F30" s="24">
        <f t="shared" si="0"/>
        <v>0</v>
      </c>
      <c r="G30" s="24">
        <f>IF('Ne pas toucher'!I29&gt;0,'A remplir'!B$66/'A remplir'!D$66,0)</f>
        <v>0</v>
      </c>
      <c r="H30" s="24">
        <f>I29*'A remplir'!F$66</f>
        <v>0</v>
      </c>
      <c r="I30" s="13">
        <f t="shared" si="2"/>
        <v>0</v>
      </c>
    </row>
    <row r="31" spans="1:9" x14ac:dyDescent="0.25">
      <c r="D31" s="1">
        <v>26</v>
      </c>
      <c r="E31" s="23">
        <f t="shared" si="1"/>
        <v>52407</v>
      </c>
      <c r="F31" s="24">
        <f t="shared" si="0"/>
        <v>0</v>
      </c>
      <c r="G31" s="24">
        <f>IF('Ne pas toucher'!I30&gt;0,'A remplir'!B$66/'A remplir'!D$66,0)</f>
        <v>0</v>
      </c>
      <c r="H31" s="24">
        <f>I30*'A remplir'!F$66</f>
        <v>0</v>
      </c>
      <c r="I31" s="13">
        <f t="shared" si="2"/>
        <v>0</v>
      </c>
    </row>
    <row r="32" spans="1:9" x14ac:dyDescent="0.25">
      <c r="D32" s="1">
        <v>27</v>
      </c>
      <c r="E32" s="23">
        <f t="shared" si="1"/>
        <v>52773</v>
      </c>
      <c r="F32" s="24">
        <f t="shared" si="0"/>
        <v>0</v>
      </c>
      <c r="G32" s="24">
        <f>IF('Ne pas toucher'!I31&gt;0,'A remplir'!B$66/'A remplir'!D$66,0)</f>
        <v>0</v>
      </c>
      <c r="H32" s="24">
        <f>I31*'A remplir'!F$66</f>
        <v>0</v>
      </c>
      <c r="I32" s="13">
        <f t="shared" si="2"/>
        <v>0</v>
      </c>
    </row>
    <row r="33" spans="1:9" x14ac:dyDescent="0.25">
      <c r="D33" s="1">
        <v>28</v>
      </c>
      <c r="E33" s="23">
        <f t="shared" si="1"/>
        <v>53138</v>
      </c>
      <c r="F33" s="24">
        <f t="shared" si="0"/>
        <v>0</v>
      </c>
      <c r="G33" s="24">
        <f>IF('Ne pas toucher'!I32&gt;0,'A remplir'!B$66/'A remplir'!D$66,0)</f>
        <v>0</v>
      </c>
      <c r="H33" s="24">
        <f>I32*'A remplir'!F$66</f>
        <v>0</v>
      </c>
      <c r="I33" s="13">
        <f t="shared" si="2"/>
        <v>0</v>
      </c>
    </row>
    <row r="34" spans="1:9" x14ac:dyDescent="0.25">
      <c r="D34" s="1">
        <v>29</v>
      </c>
      <c r="E34" s="23">
        <f t="shared" si="1"/>
        <v>53503</v>
      </c>
      <c r="F34" s="24">
        <f t="shared" si="0"/>
        <v>0</v>
      </c>
      <c r="G34" s="24">
        <f>IF('Ne pas toucher'!I33&gt;0,'A remplir'!B$66/'A remplir'!D$66,0)</f>
        <v>0</v>
      </c>
      <c r="H34" s="24">
        <f>I33*'A remplir'!F$66</f>
        <v>0</v>
      </c>
      <c r="I34" s="13">
        <f t="shared" si="2"/>
        <v>0</v>
      </c>
    </row>
    <row r="35" spans="1:9" x14ac:dyDescent="0.25">
      <c r="A35" s="2" t="s">
        <v>73</v>
      </c>
      <c r="D35" s="1">
        <v>30</v>
      </c>
      <c r="E35" s="23">
        <f t="shared" si="1"/>
        <v>53868</v>
      </c>
      <c r="F35" s="24">
        <f t="shared" si="0"/>
        <v>0</v>
      </c>
      <c r="G35" s="24">
        <f>IF('Ne pas toucher'!I34&gt;0,'A remplir'!B$66/'A remplir'!D$66,0)</f>
        <v>0</v>
      </c>
      <c r="H35" s="24">
        <f>I34*'A remplir'!F$66</f>
        <v>0</v>
      </c>
      <c r="I35" s="13">
        <f t="shared" si="2"/>
        <v>0</v>
      </c>
    </row>
    <row r="36" spans="1:9" x14ac:dyDescent="0.25">
      <c r="A36" s="1" t="s">
        <v>74</v>
      </c>
      <c r="D36" s="1">
        <v>31</v>
      </c>
      <c r="E36" s="23">
        <f t="shared" si="1"/>
        <v>54234</v>
      </c>
      <c r="F36" s="24">
        <f t="shared" si="0"/>
        <v>0</v>
      </c>
      <c r="G36" s="24">
        <f>IF('Ne pas toucher'!I35&gt;0,'A remplir'!B$66/'A remplir'!D$66,0)</f>
        <v>0</v>
      </c>
      <c r="H36" s="24">
        <f>I35*'A remplir'!F$66</f>
        <v>0</v>
      </c>
      <c r="I36" s="13">
        <f t="shared" si="2"/>
        <v>0</v>
      </c>
    </row>
    <row r="37" spans="1:9" x14ac:dyDescent="0.25">
      <c r="A37" s="1" t="s">
        <v>76</v>
      </c>
      <c r="D37" s="1">
        <v>32</v>
      </c>
      <c r="E37" s="23">
        <f t="shared" si="1"/>
        <v>54599</v>
      </c>
      <c r="F37" s="24">
        <f t="shared" si="0"/>
        <v>0</v>
      </c>
      <c r="G37" s="24">
        <f>IF('Ne pas toucher'!I36&gt;0,'A remplir'!B$66/'A remplir'!D$66,0)</f>
        <v>0</v>
      </c>
      <c r="H37" s="24">
        <f>I36*'A remplir'!F$66</f>
        <v>0</v>
      </c>
      <c r="I37" s="13">
        <f t="shared" si="2"/>
        <v>0</v>
      </c>
    </row>
    <row r="38" spans="1:9" x14ac:dyDescent="0.25">
      <c r="A38" s="1" t="s">
        <v>75</v>
      </c>
      <c r="D38" s="1">
        <v>33</v>
      </c>
      <c r="E38" s="23">
        <f t="shared" si="1"/>
        <v>54964</v>
      </c>
      <c r="F38" s="24">
        <f t="shared" si="0"/>
        <v>0</v>
      </c>
      <c r="G38" s="24">
        <f>IF('Ne pas toucher'!I37&gt;0,'A remplir'!B$66/'A remplir'!D$66,0)</f>
        <v>0</v>
      </c>
      <c r="H38" s="24">
        <f>I37*'A remplir'!F$66</f>
        <v>0</v>
      </c>
      <c r="I38" s="13">
        <f t="shared" si="2"/>
        <v>0</v>
      </c>
    </row>
    <row r="39" spans="1:9" x14ac:dyDescent="0.25">
      <c r="D39" s="1">
        <v>34</v>
      </c>
      <c r="E39" s="23">
        <f t="shared" si="1"/>
        <v>55329</v>
      </c>
      <c r="F39" s="24">
        <f t="shared" si="0"/>
        <v>0</v>
      </c>
      <c r="G39" s="24">
        <f>IF('Ne pas toucher'!I38&gt;0,'A remplir'!B$66/'A remplir'!D$66,0)</f>
        <v>0</v>
      </c>
      <c r="H39" s="24">
        <f>I38*'A remplir'!F$66</f>
        <v>0</v>
      </c>
      <c r="I39" s="13">
        <f t="shared" si="2"/>
        <v>0</v>
      </c>
    </row>
    <row r="40" spans="1:9" x14ac:dyDescent="0.25">
      <c r="D40" s="1">
        <v>35</v>
      </c>
      <c r="E40" s="23">
        <f t="shared" si="1"/>
        <v>55695</v>
      </c>
      <c r="F40" s="24">
        <f t="shared" si="0"/>
        <v>0</v>
      </c>
      <c r="G40" s="24">
        <f>IF('Ne pas toucher'!I39&gt;0,'A remplir'!B$66/'A remplir'!D$66,0)</f>
        <v>0</v>
      </c>
      <c r="H40" s="24">
        <f>I39*'A remplir'!F$66</f>
        <v>0</v>
      </c>
      <c r="I40" s="13">
        <f t="shared" si="2"/>
        <v>0</v>
      </c>
    </row>
    <row r="41" spans="1:9" x14ac:dyDescent="0.25">
      <c r="D41" s="1">
        <v>36</v>
      </c>
      <c r="E41" s="23">
        <f t="shared" si="1"/>
        <v>56060</v>
      </c>
      <c r="F41" s="24">
        <f t="shared" si="0"/>
        <v>0</v>
      </c>
      <c r="G41" s="24">
        <f>IF('Ne pas toucher'!I40&gt;0,'A remplir'!B$66/'A remplir'!D$66,0)</f>
        <v>0</v>
      </c>
      <c r="H41" s="24">
        <f>I40*'A remplir'!F$66</f>
        <v>0</v>
      </c>
      <c r="I41" s="13">
        <f t="shared" si="2"/>
        <v>0</v>
      </c>
    </row>
    <row r="42" spans="1:9" x14ac:dyDescent="0.25">
      <c r="D42" s="1">
        <v>37</v>
      </c>
      <c r="E42" s="23">
        <f>DATE(YEAR(E41)+1,MONTH(E41),DAY(E41))</f>
        <v>56425</v>
      </c>
      <c r="F42" s="24">
        <f t="shared" si="0"/>
        <v>0</v>
      </c>
      <c r="G42" s="24">
        <f>IF('Ne pas toucher'!I41&gt;0,'A remplir'!B$66/'A remplir'!D$66,0)</f>
        <v>0</v>
      </c>
      <c r="H42" s="24">
        <f>I41*'A remplir'!F$66</f>
        <v>0</v>
      </c>
      <c r="I42" s="13">
        <f>IF(I41&gt;0,I41-G41,0)</f>
        <v>0</v>
      </c>
    </row>
    <row r="43" spans="1:9" x14ac:dyDescent="0.25">
      <c r="D43" s="1">
        <v>38</v>
      </c>
      <c r="E43" s="23">
        <f t="shared" si="1"/>
        <v>56790</v>
      </c>
      <c r="F43" s="24">
        <f t="shared" si="0"/>
        <v>0</v>
      </c>
      <c r="G43" s="24">
        <f>IF('Ne pas toucher'!I42&gt;0,'A remplir'!B$66/'A remplir'!D$66,0)</f>
        <v>0</v>
      </c>
      <c r="H43" s="24">
        <f>I42*'A remplir'!F$66</f>
        <v>0</v>
      </c>
      <c r="I43" s="13">
        <f t="shared" si="2"/>
        <v>0</v>
      </c>
    </row>
    <row r="44" spans="1:9" x14ac:dyDescent="0.25">
      <c r="D44" s="1">
        <v>39</v>
      </c>
      <c r="E44" s="23">
        <f t="shared" si="1"/>
        <v>57156</v>
      </c>
      <c r="F44" s="24">
        <f t="shared" si="0"/>
        <v>0</v>
      </c>
      <c r="G44" s="24">
        <f>IF('Ne pas toucher'!I43&gt;0,'A remplir'!B$66/'A remplir'!D$66,0)</f>
        <v>0</v>
      </c>
      <c r="H44" s="24">
        <f>I43*'A remplir'!F$66</f>
        <v>0</v>
      </c>
      <c r="I44" s="13">
        <f t="shared" si="2"/>
        <v>0</v>
      </c>
    </row>
    <row r="45" spans="1:9" x14ac:dyDescent="0.25">
      <c r="D45" s="1">
        <v>40</v>
      </c>
      <c r="E45" s="23">
        <f t="shared" si="1"/>
        <v>57521</v>
      </c>
      <c r="F45" s="24">
        <f t="shared" si="0"/>
        <v>0</v>
      </c>
      <c r="G45" s="24">
        <f>IF('Ne pas toucher'!I44&gt;0,'A remplir'!B$66/'A remplir'!D$66,0)</f>
        <v>0</v>
      </c>
      <c r="H45" s="24">
        <f>I44*'A remplir'!F$66</f>
        <v>0</v>
      </c>
      <c r="I45" s="13">
        <f t="shared" si="2"/>
        <v>0</v>
      </c>
    </row>
    <row r="46" spans="1:9" x14ac:dyDescent="0.25">
      <c r="D46" s="1">
        <v>41</v>
      </c>
      <c r="E46" s="23">
        <f t="shared" si="1"/>
        <v>57886</v>
      </c>
      <c r="F46" s="24">
        <f t="shared" si="0"/>
        <v>0</v>
      </c>
      <c r="G46" s="24">
        <f>IF('Ne pas toucher'!I45&gt;0,'A remplir'!B$66/'A remplir'!D$66,0)</f>
        <v>0</v>
      </c>
      <c r="H46" s="24">
        <f>I45*'A remplir'!F$66</f>
        <v>0</v>
      </c>
      <c r="I46" s="13">
        <f t="shared" si="2"/>
        <v>0</v>
      </c>
    </row>
    <row r="47" spans="1:9" x14ac:dyDescent="0.25">
      <c r="D47" s="1">
        <v>42</v>
      </c>
      <c r="E47" s="23">
        <f>DATE(YEAR(E46)+1,MONTH(E46),DAY(E46))</f>
        <v>58251</v>
      </c>
      <c r="F47" s="24">
        <f t="shared" si="0"/>
        <v>0</v>
      </c>
      <c r="G47" s="24">
        <f>IF('Ne pas toucher'!I46&gt;0,'A remplir'!B$66/'A remplir'!D$66,0)</f>
        <v>0</v>
      </c>
      <c r="H47" s="24">
        <f>I46*'A remplir'!F$66</f>
        <v>0</v>
      </c>
      <c r="I47" s="13">
        <f>IF(I46&gt;0,I46-G46,0)</f>
        <v>0</v>
      </c>
    </row>
    <row r="48" spans="1:9" x14ac:dyDescent="0.25">
      <c r="D48" s="1">
        <v>43</v>
      </c>
      <c r="E48" s="23">
        <f t="shared" si="1"/>
        <v>58617</v>
      </c>
      <c r="F48" s="24">
        <f t="shared" si="0"/>
        <v>0</v>
      </c>
      <c r="G48" s="24">
        <f>IF('Ne pas toucher'!I47&gt;0,'A remplir'!B$66/'A remplir'!D$66,0)</f>
        <v>0</v>
      </c>
      <c r="H48" s="24">
        <f>I47*'A remplir'!F$66</f>
        <v>0</v>
      </c>
      <c r="I48" s="13">
        <f t="shared" si="2"/>
        <v>0</v>
      </c>
    </row>
    <row r="49" spans="4:9" x14ac:dyDescent="0.25">
      <c r="D49" s="1">
        <v>44</v>
      </c>
      <c r="E49" s="23">
        <f t="shared" si="1"/>
        <v>58982</v>
      </c>
      <c r="F49" s="24">
        <f t="shared" si="0"/>
        <v>0</v>
      </c>
      <c r="G49" s="24">
        <f>IF('Ne pas toucher'!I48&gt;0,'A remplir'!B$66/'A remplir'!D$66,0)</f>
        <v>0</v>
      </c>
      <c r="H49" s="24">
        <f>I48*'A remplir'!F$66</f>
        <v>0</v>
      </c>
      <c r="I49" s="13">
        <f t="shared" si="2"/>
        <v>0</v>
      </c>
    </row>
    <row r="50" spans="4:9" x14ac:dyDescent="0.25">
      <c r="D50" s="1">
        <v>45</v>
      </c>
      <c r="E50" s="23">
        <f t="shared" si="1"/>
        <v>59347</v>
      </c>
      <c r="F50" s="24">
        <f t="shared" si="0"/>
        <v>0</v>
      </c>
      <c r="G50" s="24">
        <f>IF('Ne pas toucher'!I49&gt;0,'A remplir'!B$66/'A remplir'!D$66,0)</f>
        <v>0</v>
      </c>
      <c r="H50" s="24">
        <f>I49*'A remplir'!F$66</f>
        <v>0</v>
      </c>
      <c r="I50" s="13">
        <f t="shared" si="2"/>
        <v>0</v>
      </c>
    </row>
    <row r="51" spans="4:9" x14ac:dyDescent="0.25">
      <c r="D51" s="1">
        <v>46</v>
      </c>
      <c r="E51" s="23">
        <f t="shared" si="1"/>
        <v>59712</v>
      </c>
      <c r="F51" s="24">
        <f t="shared" si="0"/>
        <v>0</v>
      </c>
      <c r="G51" s="24">
        <f>IF('Ne pas toucher'!I50&gt;0,'A remplir'!B$66/'A remplir'!D$66,0)</f>
        <v>0</v>
      </c>
      <c r="H51" s="24">
        <f>I50*'A remplir'!F$66</f>
        <v>0</v>
      </c>
      <c r="I51" s="13">
        <f t="shared" si="2"/>
        <v>0</v>
      </c>
    </row>
    <row r="52" spans="4:9" x14ac:dyDescent="0.25">
      <c r="D52" s="1">
        <v>47</v>
      </c>
      <c r="E52" s="23">
        <f t="shared" si="1"/>
        <v>60078</v>
      </c>
      <c r="F52" s="24">
        <f t="shared" si="0"/>
        <v>0</v>
      </c>
      <c r="G52" s="24">
        <f>IF('Ne pas toucher'!I51&gt;0,'A remplir'!B$66/'A remplir'!D$66,0)</f>
        <v>0</v>
      </c>
      <c r="H52" s="24">
        <f>I51*'A remplir'!F$66</f>
        <v>0</v>
      </c>
      <c r="I52" s="13">
        <f t="shared" si="2"/>
        <v>0</v>
      </c>
    </row>
    <row r="53" spans="4:9" x14ac:dyDescent="0.25">
      <c r="D53" s="1">
        <v>48</v>
      </c>
      <c r="E53" s="23">
        <f t="shared" si="1"/>
        <v>60443</v>
      </c>
      <c r="F53" s="24">
        <f t="shared" si="0"/>
        <v>0</v>
      </c>
      <c r="G53" s="24">
        <f>IF('Ne pas toucher'!I52&gt;0,'A remplir'!B$66/'A remplir'!D$66,0)</f>
        <v>0</v>
      </c>
      <c r="H53" s="24">
        <f>I52*'A remplir'!F$66</f>
        <v>0</v>
      </c>
      <c r="I53" s="13">
        <f t="shared" si="2"/>
        <v>0</v>
      </c>
    </row>
    <row r="54" spans="4:9" x14ac:dyDescent="0.25">
      <c r="D54" s="1">
        <v>49</v>
      </c>
      <c r="E54" s="23">
        <f t="shared" si="1"/>
        <v>60808</v>
      </c>
      <c r="F54" s="24">
        <f t="shared" si="0"/>
        <v>0</v>
      </c>
      <c r="G54" s="24">
        <f>IF('Ne pas toucher'!I53&gt;0,'A remplir'!B$66/'A remplir'!D$66,0)</f>
        <v>0</v>
      </c>
      <c r="H54" s="24">
        <f>I53*'A remplir'!F$66</f>
        <v>0</v>
      </c>
      <c r="I54" s="13">
        <f t="shared" si="2"/>
        <v>0</v>
      </c>
    </row>
    <row r="55" spans="4:9" x14ac:dyDescent="0.25">
      <c r="D55" s="1">
        <v>50</v>
      </c>
      <c r="E55" s="23">
        <f t="shared" si="1"/>
        <v>61173</v>
      </c>
      <c r="F55" s="24">
        <f t="shared" si="0"/>
        <v>0</v>
      </c>
      <c r="G55" s="24">
        <f>IF('Ne pas toucher'!I54&gt;0,'A remplir'!B$66/'A remplir'!D$66,0)</f>
        <v>0</v>
      </c>
      <c r="H55" s="24">
        <f>I54*'A remplir'!F$66</f>
        <v>0</v>
      </c>
      <c r="I55" s="13">
        <f t="shared" si="2"/>
        <v>0</v>
      </c>
    </row>
    <row r="58" spans="4:9" x14ac:dyDescent="0.25">
      <c r="E58" t="s">
        <v>69</v>
      </c>
      <c r="F58" s="25">
        <f>SUM(F6:F55)</f>
        <v>0</v>
      </c>
    </row>
  </sheetData>
  <sheetProtection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5</vt:i4>
      </vt:variant>
    </vt:vector>
  </HeadingPairs>
  <TitlesOfParts>
    <vt:vector size="5" baseType="lpstr">
      <vt:lpstr>Mode d'emploi</vt:lpstr>
      <vt:lpstr>A remplir</vt:lpstr>
      <vt:lpstr>Résultat</vt:lpstr>
      <vt:lpstr>Annexe</vt:lpstr>
      <vt:lpstr>Ne pas toucher</vt:lpstr>
    </vt:vector>
  </TitlesOfParts>
  <Company>ICDC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Escourrou, Marie-Laure</dc:creator>
  <cp:lastModifiedBy>Dina MARCIANO</cp:lastModifiedBy>
  <cp:lastPrinted>2017-12-29T13:21:40Z</cp:lastPrinted>
  <dcterms:created xsi:type="dcterms:W3CDTF">2017-11-21T10:45:12Z</dcterms:created>
  <dcterms:modified xsi:type="dcterms:W3CDTF">2018-06-19T15:24:35Z</dcterms:modified>
</cp:coreProperties>
</file>